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mc:AlternateContent xmlns:mc="http://schemas.openxmlformats.org/markup-compatibility/2006">
    <mc:Choice Requires="x15">
      <x15ac:absPath xmlns:x15ac="http://schemas.microsoft.com/office/spreadsheetml/2010/11/ac" url="C:\Users\td\Documents\Algogen\elementsOfFinance\"/>
    </mc:Choice>
  </mc:AlternateContent>
  <xr:revisionPtr revIDLastSave="0" documentId="13_ncr:1_{AF6A5C66-143F-43DE-B020-30C9F8A38971}" xr6:coauthVersionLast="46" xr6:coauthVersionMax="46" xr10:uidLastSave="{00000000-0000-0000-0000-000000000000}"/>
  <bookViews>
    <workbookView xWindow="-110" yWindow="-110" windowWidth="19420" windowHeight="10420" tabRatio="650" firstSheet="1" activeTab="1" xr2:uid="{00000000-000D-0000-FFFF-FFFF00000000}"/>
  </bookViews>
  <sheets>
    <sheet name="Parameters" sheetId="22" state="hidden" r:id="rId1"/>
    <sheet name="TeacherQuestions" sheetId="46" r:id="rId2"/>
    <sheet name="Conceptual" sheetId="33" r:id="rId3"/>
    <sheet name="FA1" sheetId="39" r:id="rId4"/>
    <sheet name="LumpSum" sheetId="32" r:id="rId5"/>
    <sheet name="GeneralPV" sheetId="34" r:id="rId6"/>
    <sheet name="CapBud" sheetId="41" r:id="rId7"/>
    <sheet name="BondApps" sheetId="40" r:id="rId8"/>
    <sheet name="stocks" sheetId="36" r:id="rId9"/>
    <sheet name="PortTheory" sheetId="37" r:id="rId10"/>
    <sheet name="Options" sheetId="38" r:id="rId11"/>
    <sheet name="Intntl" sheetId="42" r:id="rId12"/>
  </sheets>
  <externalReferences>
    <externalReference r:id="rId13"/>
  </externalReferences>
  <definedNames>
    <definedName name="FivePairs">Parameters!$D$16:$D$20</definedName>
    <definedName name="flag1">Parameters!$F$16</definedName>
    <definedName name="flag2">Parameters!$F$17</definedName>
    <definedName name="flag3">Parameters!$F$18</definedName>
    <definedName name="flag4">Parameters!$F$19</definedName>
    <definedName name="flag5">Parameters!$F$20</definedName>
    <definedName name="FourFromSix">Parameters!$I$34:$I$48</definedName>
    <definedName name="mask01">Parameters!$A$16</definedName>
    <definedName name="mask03">Parameters!$A$17</definedName>
    <definedName name="mask05">Parameters!$A$18</definedName>
    <definedName name="mask10">Parameters!$A$19</definedName>
    <definedName name="mask100">Parameters!$A$28</definedName>
    <definedName name="mask20">Parameters!$A$20</definedName>
    <definedName name="mask200">Parameters!$A$29</definedName>
    <definedName name="mask25">Parameters!$A$21</definedName>
    <definedName name="mask30">Parameters!$A$22</definedName>
    <definedName name="mask40">Parameters!$A$23</definedName>
    <definedName name="mask50">Parameters!$A$24</definedName>
    <definedName name="mask60">Parameters!$A$25</definedName>
    <definedName name="mask70">Parameters!$A$26</definedName>
    <definedName name="mask80">Parameters!$A$27</definedName>
    <definedName name="OneFromThree">Parameters!$E$34</definedName>
    <definedName name="sign1">Parameters!$D$24</definedName>
    <definedName name="sign2">Parameters!$D$25</definedName>
    <definedName name="sign3">Parameters!$D$26</definedName>
    <definedName name="sign4">Parameters!$D$27</definedName>
    <definedName name="sign5">Parameters!$D$28</definedName>
    <definedName name="SixPairs">Parameters!$E$16:$E$21</definedName>
    <definedName name="ThreeFromFive">Parameters!$G$34:$G$93</definedName>
    <definedName name="TwoFromFive">Parameters!$F$34:$F$53</definedName>
    <definedName name="TwoFromFour">Parameters!$H$34:$H$45</definedName>
    <definedName name="vMask02">Parameters!$F$30</definedName>
    <definedName name="vMask05">Parameters!$F$24</definedName>
    <definedName name="vMask10">Parameters!$F$25</definedName>
    <definedName name="vMask15">Parameters!$F$31</definedName>
    <definedName name="vMask20">Parameters!$F$26</definedName>
    <definedName name="vMask30">Parameters!$F$27</definedName>
    <definedName name="vMask40">Parameters!$F$28</definedName>
    <definedName name="vMask50">Parameters!$F$29</definedName>
  </definedNames>
  <calcPr calcId="191029" calcMode="manual"/>
</workbook>
</file>

<file path=xl/calcChain.xml><?xml version="1.0" encoding="utf-8"?>
<calcChain xmlns="http://schemas.openxmlformats.org/spreadsheetml/2006/main">
  <c r="D239" i="46" l="1"/>
  <c r="D238" i="46"/>
  <c r="D235" i="46"/>
  <c r="D234" i="46"/>
  <c r="B231" i="46"/>
  <c r="H124" i="42"/>
  <c r="J124" i="42" s="1"/>
  <c r="H123" i="42"/>
  <c r="J123" i="42" s="1"/>
  <c r="H29" i="42"/>
  <c r="I32" i="42" s="1"/>
  <c r="O387" i="38"/>
  <c r="Q389" i="38" s="1"/>
  <c r="N387" i="38"/>
  <c r="Q387" i="38" s="1"/>
  <c r="R387" i="38" s="1"/>
  <c r="S387" i="38" s="1"/>
  <c r="D370" i="38"/>
  <c r="H370" i="38" s="1"/>
  <c r="J351" i="38"/>
  <c r="D316" i="38"/>
  <c r="A318" i="38" s="1"/>
  <c r="K298" i="38"/>
  <c r="O300" i="38" s="1"/>
  <c r="T275" i="38"/>
  <c r="D257" i="38"/>
  <c r="H257" i="38" s="1"/>
  <c r="D240" i="38"/>
  <c r="G240" i="38" s="1"/>
  <c r="D206" i="38"/>
  <c r="E206" i="38" s="1"/>
  <c r="E55" i="38"/>
  <c r="I392" i="37"/>
  <c r="K392" i="37" s="1"/>
  <c r="I327" i="37"/>
  <c r="B333" i="37" s="1"/>
  <c r="I313" i="37"/>
  <c r="I297" i="37"/>
  <c r="I294" i="37" s="1"/>
  <c r="M239" i="37"/>
  <c r="K240" i="37" s="1"/>
  <c r="L239" i="37"/>
  <c r="K241" i="37" s="1"/>
  <c r="M226" i="37"/>
  <c r="M229" i="37" s="1"/>
  <c r="J175" i="37"/>
  <c r="F180" i="37" s="1"/>
  <c r="M175" i="37"/>
  <c r="L175" i="37"/>
  <c r="K175" i="37"/>
  <c r="J142" i="37"/>
  <c r="J143" i="37" s="1"/>
  <c r="H72" i="37"/>
  <c r="I68" i="37" s="1"/>
  <c r="D175" i="36"/>
  <c r="F175" i="36" s="1"/>
  <c r="D174" i="36"/>
  <c r="E174" i="36" s="1"/>
  <c r="E161" i="36"/>
  <c r="E160" i="36" s="1"/>
  <c r="A328" i="40"/>
  <c r="A311" i="40"/>
  <c r="J299" i="40"/>
  <c r="J297" i="40"/>
  <c r="J295" i="40"/>
  <c r="E160" i="40"/>
  <c r="I130" i="40"/>
  <c r="I128" i="40" s="1"/>
  <c r="J128" i="40" s="1"/>
  <c r="A109" i="40"/>
  <c r="D13" i="40"/>
  <c r="G13" i="40" s="1"/>
  <c r="A396" i="41"/>
  <c r="C396" i="41" s="1"/>
  <c r="A381" i="41"/>
  <c r="A367" i="41"/>
  <c r="A353" i="41"/>
  <c r="C353" i="41" s="1"/>
  <c r="A331" i="41"/>
  <c r="A222" i="41"/>
  <c r="D191" i="41"/>
  <c r="B177" i="41"/>
  <c r="C178" i="41" s="1"/>
  <c r="G108" i="41"/>
  <c r="C105" i="41"/>
  <c r="A106" i="41" s="1"/>
  <c r="E104" i="41" s="1"/>
  <c r="B91" i="41"/>
  <c r="B90" i="41"/>
  <c r="B89" i="41"/>
  <c r="B88" i="41"/>
  <c r="B87" i="41"/>
  <c r="D76" i="41"/>
  <c r="F77" i="41" s="1"/>
  <c r="K361" i="34"/>
  <c r="M359" i="34" s="1"/>
  <c r="F330" i="34"/>
  <c r="F328" i="34" s="1"/>
  <c r="A314" i="34"/>
  <c r="C314" i="34" s="1"/>
  <c r="J218" i="34"/>
  <c r="I218" i="34" s="1"/>
  <c r="A177" i="34"/>
  <c r="C176" i="34" s="1"/>
  <c r="A161" i="34"/>
  <c r="A159" i="34" s="1"/>
  <c r="H114" i="34"/>
  <c r="J973" i="32"/>
  <c r="C632" i="32"/>
  <c r="A630" i="32" s="1"/>
  <c r="F631" i="32"/>
  <c r="F629" i="32" s="1"/>
  <c r="J257" i="32"/>
  <c r="H77" i="32"/>
  <c r="H75" i="32" s="1"/>
  <c r="F584" i="39"/>
  <c r="F583" i="39" s="1"/>
  <c r="O243" i="39"/>
  <c r="R244" i="39" s="1"/>
  <c r="F213" i="39"/>
  <c r="A209" i="39"/>
  <c r="F181" i="39"/>
  <c r="F180" i="39" s="1"/>
  <c r="F1200" i="33"/>
  <c r="G1201" i="33" s="1"/>
  <c r="A1187" i="33"/>
  <c r="B1182" i="33" s="1"/>
  <c r="E1168" i="33"/>
  <c r="D1170" i="33" s="1"/>
  <c r="A1055" i="33"/>
  <c r="G1052" i="33"/>
  <c r="G1050" i="33" s="1"/>
  <c r="G1051" i="33"/>
  <c r="H1049" i="33" s="1"/>
  <c r="A1047" i="33"/>
  <c r="C1053" i="33" s="1"/>
  <c r="A1046" i="33"/>
  <c r="A1048" i="33" s="1"/>
  <c r="A1013" i="33"/>
  <c r="B1013" i="33" s="1"/>
  <c r="B987" i="33"/>
  <c r="B986" i="33"/>
  <c r="B985" i="33"/>
  <c r="B984" i="33"/>
  <c r="A220" i="33"/>
  <c r="B226" i="33" s="1"/>
  <c r="A207" i="33"/>
  <c r="B208" i="33" s="1"/>
  <c r="G81" i="33"/>
  <c r="B81" i="33" s="1"/>
  <c r="G80" i="33"/>
  <c r="B80" i="33" s="1"/>
  <c r="B71" i="33"/>
  <c r="B73" i="33" s="1"/>
  <c r="H14" i="42"/>
  <c r="B16" i="42" s="1"/>
  <c r="H13" i="42"/>
  <c r="B15" i="42" s="1"/>
  <c r="B357" i="38"/>
  <c r="A356" i="38" s="1"/>
  <c r="C258" i="38"/>
  <c r="A155" i="39"/>
  <c r="B1089" i="33"/>
  <c r="C1095" i="33" s="1"/>
  <c r="B1029" i="33"/>
  <c r="C1035" i="33" s="1"/>
  <c r="B998" i="33"/>
  <c r="C1004" i="33" s="1"/>
  <c r="B983" i="33"/>
  <c r="B199" i="33"/>
  <c r="A302" i="38"/>
  <c r="A564" i="37"/>
  <c r="E593" i="37"/>
  <c r="E577" i="37"/>
  <c r="A563" i="37"/>
  <c r="E542" i="37"/>
  <c r="F258" i="37"/>
  <c r="E144" i="37"/>
  <c r="B99" i="37"/>
  <c r="B71" i="37"/>
  <c r="B84" i="37"/>
  <c r="B70" i="37"/>
  <c r="B592" i="37"/>
  <c r="B576" i="37"/>
  <c r="A562" i="37"/>
  <c r="B541" i="37"/>
  <c r="B143" i="37"/>
  <c r="B98" i="37"/>
  <c r="A90" i="32"/>
  <c r="A89" i="32"/>
  <c r="A197" i="39"/>
  <c r="C196" i="39"/>
  <c r="A194" i="39"/>
  <c r="A618" i="39"/>
  <c r="C618" i="39" s="1"/>
  <c r="A598" i="39"/>
  <c r="C598" i="39" s="1"/>
  <c r="A193" i="39"/>
  <c r="A775" i="39"/>
  <c r="A198" i="39"/>
  <c r="A192" i="39"/>
  <c r="B1428" i="33"/>
  <c r="C1430" i="33" s="1"/>
  <c r="B1355" i="33"/>
  <c r="B1510" i="33"/>
  <c r="C1512" i="33" s="1"/>
  <c r="B1354" i="33"/>
  <c r="B943" i="33"/>
  <c r="B944" i="33" s="1"/>
  <c r="A282" i="46"/>
  <c r="A281" i="46"/>
  <c r="A280" i="46"/>
  <c r="A360" i="39"/>
  <c r="A208" i="38"/>
  <c r="A295" i="46"/>
  <c r="A59" i="40"/>
  <c r="C62" i="40" s="1"/>
  <c r="A16" i="22"/>
  <c r="F17" i="22"/>
  <c r="F18" i="22"/>
  <c r="K123" i="42"/>
  <c r="J126" i="42"/>
  <c r="B144" i="37"/>
  <c r="C144" i="37"/>
  <c r="D144" i="37"/>
  <c r="D25" i="22"/>
  <c r="Q512" i="32" s="1"/>
  <c r="D24" i="22"/>
  <c r="F693" i="32" s="1"/>
  <c r="C143" i="37"/>
  <c r="D143" i="37"/>
  <c r="E143" i="37"/>
  <c r="A166" i="32"/>
  <c r="A168" i="32"/>
  <c r="A167" i="32"/>
  <c r="B1726" i="33"/>
  <c r="B1725" i="33"/>
  <c r="A206" i="38"/>
  <c r="A207" i="38"/>
  <c r="F26" i="22"/>
  <c r="E207" i="38"/>
  <c r="A825" i="37"/>
  <c r="A827" i="37"/>
  <c r="A817" i="37"/>
  <c r="A818" i="37"/>
  <c r="A820" i="37"/>
  <c r="E816" i="37"/>
  <c r="A826" i="37"/>
  <c r="B1823" i="33"/>
  <c r="F16" i="22"/>
  <c r="B1493" i="33" s="1"/>
  <c r="C1495" i="33" s="1"/>
  <c r="D178" i="37"/>
  <c r="A177" i="37"/>
  <c r="A20" i="22"/>
  <c r="A179" i="37"/>
  <c r="A314" i="37"/>
  <c r="A310" i="37"/>
  <c r="A312" i="37"/>
  <c r="A311" i="37"/>
  <c r="B1728" i="33"/>
  <c r="B1727" i="33"/>
  <c r="A751" i="37"/>
  <c r="A752" i="37" s="1"/>
  <c r="A753" i="37"/>
  <c r="A754" i="37"/>
  <c r="A755" i="37"/>
  <c r="A302" i="36"/>
  <c r="A303" i="36"/>
  <c r="A306" i="36"/>
  <c r="A307" i="36"/>
  <c r="A304" i="36"/>
  <c r="A22" i="22"/>
  <c r="G326" i="33"/>
  <c r="C325" i="33" s="1"/>
  <c r="C307" i="33"/>
  <c r="H278" i="38"/>
  <c r="P278" i="38"/>
  <c r="A276" i="38"/>
  <c r="L276" i="38" s="1"/>
  <c r="A277" i="38"/>
  <c r="F25" i="22"/>
  <c r="M256" i="39"/>
  <c r="A238" i="39"/>
  <c r="A237" i="39" s="1"/>
  <c r="A239" i="39" s="1"/>
  <c r="C238" i="39" s="1"/>
  <c r="A249" i="39"/>
  <c r="A247" i="39"/>
  <c r="A243" i="39"/>
  <c r="A242" i="39" s="1"/>
  <c r="A244" i="39" s="1"/>
  <c r="C243" i="39" s="1"/>
  <c r="E249" i="39"/>
  <c r="E247" i="39"/>
  <c r="A804" i="37"/>
  <c r="A803" i="37"/>
  <c r="A802" i="37"/>
  <c r="B1824" i="33"/>
  <c r="B1825" i="33"/>
  <c r="B1826" i="33"/>
  <c r="B1827" i="33"/>
  <c r="B1828" i="33"/>
  <c r="C720" i="33"/>
  <c r="A195" i="37"/>
  <c r="A192" i="37"/>
  <c r="D193" i="37"/>
  <c r="A194" i="37"/>
  <c r="A218" i="34"/>
  <c r="A219" i="34"/>
  <c r="A217" i="34"/>
  <c r="C1814" i="33"/>
  <c r="A275" i="41"/>
  <c r="A276" i="41"/>
  <c r="A274" i="41"/>
  <c r="A116" i="39"/>
  <c r="A117" i="39"/>
  <c r="A121" i="39" s="1"/>
  <c r="B1799" i="33"/>
  <c r="B1800" i="33"/>
  <c r="D1382" i="33"/>
  <c r="E1382" i="33" s="1"/>
  <c r="D1381" i="33"/>
  <c r="E1381" i="33" s="1"/>
  <c r="D1380" i="33"/>
  <c r="C1380" i="33" s="1"/>
  <c r="A787" i="37"/>
  <c r="A790" i="37" s="1"/>
  <c r="F27" i="22"/>
  <c r="A788" i="37"/>
  <c r="A786" i="37"/>
  <c r="A789" i="37" s="1"/>
  <c r="F28" i="22"/>
  <c r="D768" i="37"/>
  <c r="A767" i="37"/>
  <c r="A770" i="37"/>
  <c r="A354" i="38"/>
  <c r="C353" i="38"/>
  <c r="A353" i="38" s="1"/>
  <c r="D26" i="22"/>
  <c r="A865" i="39" s="1"/>
  <c r="D353" i="38"/>
  <c r="A1044" i="39"/>
  <c r="A1046" i="39" s="1"/>
  <c r="A1049" i="39"/>
  <c r="A1045" i="39"/>
  <c r="D1048" i="39"/>
  <c r="A1050" i="39"/>
  <c r="A1047" i="39"/>
  <c r="A1053" i="39" s="1"/>
  <c r="A1765" i="33"/>
  <c r="A1768" i="33" s="1"/>
  <c r="A1766" i="33"/>
  <c r="A1771" i="33"/>
  <c r="A1770" i="33" s="1"/>
  <c r="D1771" i="33" s="1"/>
  <c r="A521" i="36"/>
  <c r="A519" i="36"/>
  <c r="A520" i="36" s="1"/>
  <c r="A716" i="37"/>
  <c r="C1790" i="33"/>
  <c r="B29" i="37"/>
  <c r="B26" i="37"/>
  <c r="C26" i="37" s="1"/>
  <c r="B27" i="37"/>
  <c r="C28" i="37" s="1"/>
  <c r="C27" i="37"/>
  <c r="B28" i="37" s="1"/>
  <c r="F11" i="42"/>
  <c r="A11" i="42" s="1"/>
  <c r="A13" i="42"/>
  <c r="A14" i="42" s="1"/>
  <c r="G11" i="42" s="1"/>
  <c r="B17" i="42"/>
  <c r="A15" i="42"/>
  <c r="G28" i="42"/>
  <c r="A28" i="42" s="1"/>
  <c r="A30" i="42"/>
  <c r="A31" i="42" s="1"/>
  <c r="A32" i="42"/>
  <c r="A34" i="42" s="1"/>
  <c r="G50" i="42"/>
  <c r="A51" i="42" s="1"/>
  <c r="A57" i="42"/>
  <c r="A52" i="42"/>
  <c r="A53" i="42" s="1"/>
  <c r="A76" i="42"/>
  <c r="A77" i="42"/>
  <c r="G77" i="42"/>
  <c r="A78" i="42"/>
  <c r="C78" i="42"/>
  <c r="G94" i="42"/>
  <c r="A97" i="42" s="1"/>
  <c r="A98" i="42"/>
  <c r="A99" i="42" s="1"/>
  <c r="A101" i="42" s="1"/>
  <c r="A100" i="42" s="1"/>
  <c r="G121" i="42"/>
  <c r="A123" i="42" s="1"/>
  <c r="C130" i="42" s="1"/>
  <c r="A125" i="42"/>
  <c r="A126" i="42" s="1"/>
  <c r="D131" i="42" s="1"/>
  <c r="E126" i="42"/>
  <c r="K126" i="42"/>
  <c r="G144" i="42"/>
  <c r="A145" i="42" s="1"/>
  <c r="C157" i="42" s="1"/>
  <c r="A147" i="42"/>
  <c r="A148" i="42" s="1"/>
  <c r="D158" i="42" s="1"/>
  <c r="G155" i="42"/>
  <c r="G171" i="42"/>
  <c r="A173" i="42" s="1"/>
  <c r="A175" i="42"/>
  <c r="A178" i="42" s="1"/>
  <c r="A179" i="42" s="1"/>
  <c r="A176" i="42"/>
  <c r="A177" i="42" s="1"/>
  <c r="G194" i="42"/>
  <c r="A197" i="42" s="1"/>
  <c r="A198" i="42"/>
  <c r="A199" i="42"/>
  <c r="A200" i="42" s="1"/>
  <c r="A203" i="42" s="1"/>
  <c r="G216" i="42"/>
  <c r="A216" i="42" s="1"/>
  <c r="A220" i="42"/>
  <c r="A221" i="42"/>
  <c r="A222" i="42" s="1"/>
  <c r="G237" i="42"/>
  <c r="A237" i="42" s="1"/>
  <c r="A242" i="42"/>
  <c r="E243" i="42"/>
  <c r="A11" i="38"/>
  <c r="A12" i="38"/>
  <c r="A24" i="38"/>
  <c r="A25" i="38"/>
  <c r="A26" i="38"/>
  <c r="A37" i="38"/>
  <c r="A38" i="38" s="1"/>
  <c r="E38" i="38" s="1"/>
  <c r="A45" i="38"/>
  <c r="A46" i="38" s="1"/>
  <c r="E46" i="38" s="1"/>
  <c r="A53" i="38"/>
  <c r="A54" i="38" s="1"/>
  <c r="C63" i="38"/>
  <c r="C68" i="38"/>
  <c r="C69" i="38"/>
  <c r="C70" i="38"/>
  <c r="A81" i="38"/>
  <c r="A82" i="38" s="1"/>
  <c r="A101" i="38"/>
  <c r="A103" i="38"/>
  <c r="A104" i="38"/>
  <c r="A105" i="38"/>
  <c r="A107" i="38"/>
  <c r="A106" i="38"/>
  <c r="F103" i="38"/>
  <c r="A118" i="38"/>
  <c r="A122" i="38"/>
  <c r="A120" i="38"/>
  <c r="A133" i="38"/>
  <c r="A134" i="38" s="1"/>
  <c r="A136" i="38"/>
  <c r="A147" i="38"/>
  <c r="A160" i="38"/>
  <c r="A161" i="38" s="1"/>
  <c r="A163" i="38"/>
  <c r="A174" i="38"/>
  <c r="A176" i="38"/>
  <c r="A178" i="38"/>
  <c r="A190" i="38"/>
  <c r="A191" i="38" s="1"/>
  <c r="A192" i="38"/>
  <c r="A193" i="38"/>
  <c r="A19" i="22"/>
  <c r="A18" i="22"/>
  <c r="A194" i="38"/>
  <c r="I206" i="38"/>
  <c r="A223" i="38"/>
  <c r="A224" i="38"/>
  <c r="A225" i="38"/>
  <c r="J223" i="38"/>
  <c r="A226" i="38"/>
  <c r="C226" i="38"/>
  <c r="A228" i="38"/>
  <c r="A240" i="38"/>
  <c r="A241" i="38" s="1"/>
  <c r="K240" i="38"/>
  <c r="E245" i="38"/>
  <c r="G245" i="38"/>
  <c r="A242" i="38"/>
  <c r="A243" i="38"/>
  <c r="A257" i="38"/>
  <c r="A261" i="38" s="1"/>
  <c r="A262" i="38" s="1"/>
  <c r="A259" i="38"/>
  <c r="A260" i="38"/>
  <c r="A301" i="38"/>
  <c r="C300" i="38"/>
  <c r="A300" i="38" s="1"/>
  <c r="D300" i="38"/>
  <c r="H300" i="38"/>
  <c r="A316" i="38"/>
  <c r="E316" i="38"/>
  <c r="A317" i="38"/>
  <c r="A332" i="38"/>
  <c r="A331" i="38" s="1"/>
  <c r="A334" i="38"/>
  <c r="A335" i="38"/>
  <c r="A333" i="38"/>
  <c r="A336" i="38"/>
  <c r="A337" i="38"/>
  <c r="A370" i="38"/>
  <c r="J370" i="38"/>
  <c r="A371" i="38"/>
  <c r="A373" i="38" s="1"/>
  <c r="A372" i="38"/>
  <c r="A388" i="38"/>
  <c r="A392" i="38" s="1"/>
  <c r="E387" i="38" s="1"/>
  <c r="K387" i="38"/>
  <c r="F19" i="22"/>
  <c r="A405" i="38"/>
  <c r="A404" i="38" s="1"/>
  <c r="A406" i="38" s="1"/>
  <c r="A419" i="38"/>
  <c r="A420" i="38"/>
  <c r="A421" i="38" s="1"/>
  <c r="A435" i="38"/>
  <c r="A437" i="38"/>
  <c r="A449" i="38"/>
  <c r="A451" i="38"/>
  <c r="C463" i="38"/>
  <c r="A472" i="38"/>
  <c r="A473" i="38"/>
  <c r="A474" i="38"/>
  <c r="A475" i="38"/>
  <c r="J475" i="38"/>
  <c r="A11" i="37"/>
  <c r="A12" i="37" s="1"/>
  <c r="A13" i="37"/>
  <c r="E11" i="37" s="1"/>
  <c r="A42" i="37"/>
  <c r="A43" i="37" s="1"/>
  <c r="A44" i="37"/>
  <c r="F43" i="37"/>
  <c r="A55" i="37"/>
  <c r="A57" i="37"/>
  <c r="A56" i="37"/>
  <c r="B69" i="37"/>
  <c r="C69" i="37"/>
  <c r="C70" i="37"/>
  <c r="D70" i="37"/>
  <c r="C71" i="37"/>
  <c r="D71" i="37"/>
  <c r="B83" i="37"/>
  <c r="C83" i="37"/>
  <c r="C84" i="37"/>
  <c r="D84" i="37"/>
  <c r="B97" i="37"/>
  <c r="C97" i="37"/>
  <c r="C98" i="37"/>
  <c r="D98" i="37"/>
  <c r="C99" i="37"/>
  <c r="L97" i="37"/>
  <c r="A101" i="37"/>
  <c r="A102" i="37" s="1"/>
  <c r="A114" i="37"/>
  <c r="A115" i="37"/>
  <c r="D117" i="37"/>
  <c r="A128" i="37"/>
  <c r="A131" i="37"/>
  <c r="D129" i="37"/>
  <c r="A130" i="37"/>
  <c r="J159" i="37"/>
  <c r="K159" i="37"/>
  <c r="A161" i="37"/>
  <c r="A165" i="37"/>
  <c r="A163" i="37"/>
  <c r="A162" i="37"/>
  <c r="A164" i="37"/>
  <c r="A180" i="37"/>
  <c r="A209" i="37"/>
  <c r="A210" i="37"/>
  <c r="A221" i="37"/>
  <c r="A225" i="37"/>
  <c r="A226" i="37"/>
  <c r="A222" i="37"/>
  <c r="A224" i="37"/>
  <c r="A223" i="37"/>
  <c r="A239" i="37"/>
  <c r="D240" i="37"/>
  <c r="A241" i="37"/>
  <c r="B255" i="37"/>
  <c r="C255" i="37"/>
  <c r="D255" i="37"/>
  <c r="E255" i="37"/>
  <c r="F255" i="37"/>
  <c r="B256" i="37"/>
  <c r="C256" i="37"/>
  <c r="D256" i="37"/>
  <c r="E256" i="37"/>
  <c r="F256" i="37"/>
  <c r="F259" i="37"/>
  <c r="B274" i="37"/>
  <c r="C274" i="37"/>
  <c r="D274" i="37"/>
  <c r="E274" i="37"/>
  <c r="F274" i="37"/>
  <c r="B275" i="37"/>
  <c r="C275" i="37"/>
  <c r="D275" i="37"/>
  <c r="E275" i="37"/>
  <c r="F275" i="37"/>
  <c r="F279" i="37"/>
  <c r="A294" i="37"/>
  <c r="A296" i="37"/>
  <c r="A295" i="37"/>
  <c r="A298" i="37"/>
  <c r="A326" i="37"/>
  <c r="A327" i="37"/>
  <c r="A330" i="37"/>
  <c r="A328" i="37"/>
  <c r="A333" i="37"/>
  <c r="A331" i="37"/>
  <c r="A329" i="37"/>
  <c r="A344" i="37"/>
  <c r="A345" i="37"/>
  <c r="A348" i="37"/>
  <c r="A346" i="37"/>
  <c r="F24" i="22"/>
  <c r="A349" i="37"/>
  <c r="A347" i="37"/>
  <c r="A361" i="37"/>
  <c r="A364" i="37"/>
  <c r="A362" i="37"/>
  <c r="E367" i="37"/>
  <c r="A363" i="37"/>
  <c r="A365" i="37"/>
  <c r="H366" i="37"/>
  <c r="D366" i="37" s="1"/>
  <c r="E366" i="37"/>
  <c r="B379" i="37"/>
  <c r="C379" i="37"/>
  <c r="B380" i="37"/>
  <c r="C380" i="37"/>
  <c r="A392" i="37"/>
  <c r="A394" i="37"/>
  <c r="A393" i="37"/>
  <c r="A396" i="37"/>
  <c r="K393" i="37"/>
  <c r="K396" i="37"/>
  <c r="A400" i="37"/>
  <c r="A402" i="37"/>
  <c r="A403" i="37"/>
  <c r="A414" i="37"/>
  <c r="A416" i="37"/>
  <c r="A429" i="37"/>
  <c r="A430" i="37"/>
  <c r="A431" i="37"/>
  <c r="A443" i="37"/>
  <c r="A444" i="37"/>
  <c r="A456" i="37"/>
  <c r="A457" i="37"/>
  <c r="E455" i="37"/>
  <c r="A459" i="37"/>
  <c r="A461" i="37"/>
  <c r="A475" i="37"/>
  <c r="A476" i="37"/>
  <c r="E474" i="37"/>
  <c r="A478" i="37"/>
  <c r="A480" i="37"/>
  <c r="A493" i="37"/>
  <c r="A494" i="37"/>
  <c r="E492" i="37"/>
  <c r="A500" i="37"/>
  <c r="E494" i="37" s="1"/>
  <c r="H494" i="37"/>
  <c r="A496" i="37"/>
  <c r="B513" i="37"/>
  <c r="C513" i="37"/>
  <c r="D513" i="37"/>
  <c r="B514" i="37"/>
  <c r="C514" i="37"/>
  <c r="D514" i="37"/>
  <c r="B515" i="37"/>
  <c r="C515" i="37"/>
  <c r="D515" i="37"/>
  <c r="B527" i="37"/>
  <c r="C527" i="37"/>
  <c r="B528" i="37"/>
  <c r="C528" i="37"/>
  <c r="B529" i="37"/>
  <c r="C529" i="37"/>
  <c r="C541" i="37"/>
  <c r="D541" i="37"/>
  <c r="E541" i="37"/>
  <c r="B542" i="37"/>
  <c r="C542" i="37"/>
  <c r="D542" i="37"/>
  <c r="H544" i="37"/>
  <c r="J544" i="37"/>
  <c r="A558" i="37"/>
  <c r="A559" i="37"/>
  <c r="A560" i="37"/>
  <c r="C576" i="37"/>
  <c r="D576" i="37"/>
  <c r="E576" i="37"/>
  <c r="B577" i="37"/>
  <c r="C577" i="37"/>
  <c r="D577" i="37"/>
  <c r="A579" i="37"/>
  <c r="A580" i="37" s="1"/>
  <c r="C592" i="37"/>
  <c r="D592" i="37"/>
  <c r="E592" i="37"/>
  <c r="B593" i="37"/>
  <c r="C593" i="37"/>
  <c r="D593" i="37"/>
  <c r="A595" i="37"/>
  <c r="A596" i="37" s="1"/>
  <c r="A607" i="37"/>
  <c r="A608" i="37"/>
  <c r="A611" i="37" s="1"/>
  <c r="A609" i="37"/>
  <c r="A626" i="37"/>
  <c r="A627" i="37"/>
  <c r="A628" i="37" s="1"/>
  <c r="E629" i="37"/>
  <c r="F29" i="22"/>
  <c r="A641" i="37"/>
  <c r="A642" i="37" s="1"/>
  <c r="A643" i="37"/>
  <c r="F643" i="37"/>
  <c r="G645" i="37" s="1"/>
  <c r="A655" i="37"/>
  <c r="A656" i="37" s="1"/>
  <c r="A657" i="37"/>
  <c r="A658" i="37" s="1"/>
  <c r="F656" i="37" s="1"/>
  <c r="F657" i="37"/>
  <c r="G658" i="37" s="1"/>
  <c r="A670" i="37"/>
  <c r="A672" i="37"/>
  <c r="F672" i="37"/>
  <c r="G674" i="37" s="1"/>
  <c r="A685" i="37"/>
  <c r="A686" i="37"/>
  <c r="A687" i="37"/>
  <c r="A699" i="37"/>
  <c r="A701" i="37"/>
  <c r="F699" i="37" s="1"/>
  <c r="A700" i="37"/>
  <c r="A702" i="37"/>
  <c r="A703" i="37"/>
  <c r="A715" i="37"/>
  <c r="A717" i="37"/>
  <c r="F715" i="37" s="1"/>
  <c r="A718" i="37"/>
  <c r="A719" i="37"/>
  <c r="A722" i="37"/>
  <c r="A721" i="37"/>
  <c r="A734" i="37"/>
  <c r="A735" i="37"/>
  <c r="E733" i="37"/>
  <c r="A737" i="37"/>
  <c r="A11" i="36"/>
  <c r="F11" i="36"/>
  <c r="A13" i="36" s="1"/>
  <c r="F12" i="36" s="1"/>
  <c r="A25" i="36"/>
  <c r="A26" i="36"/>
  <c r="A28" i="36"/>
  <c r="A40" i="36"/>
  <c r="F40" i="36"/>
  <c r="A41" i="36"/>
  <c r="A53" i="36"/>
  <c r="A54" i="36"/>
  <c r="A55" i="36" s="1"/>
  <c r="F31" i="22"/>
  <c r="L277" i="38" s="1"/>
  <c r="A56" i="36"/>
  <c r="A75" i="36"/>
  <c r="A89" i="36"/>
  <c r="A90" i="36" s="1"/>
  <c r="E89" i="36" s="1"/>
  <c r="C92" i="36" s="1"/>
  <c r="A101" i="36"/>
  <c r="A102" i="36" s="1"/>
  <c r="A103" i="36"/>
  <c r="A114" i="36"/>
  <c r="A115" i="36" s="1"/>
  <c r="F30" i="22"/>
  <c r="A128" i="36"/>
  <c r="A130" i="36" s="1"/>
  <c r="A131" i="36" s="1"/>
  <c r="A132" i="36"/>
  <c r="A143" i="36"/>
  <c r="A144" i="36"/>
  <c r="A145" i="36"/>
  <c r="C145" i="36" s="1"/>
  <c r="A146" i="36"/>
  <c r="C149" i="36" s="1"/>
  <c r="A158" i="36"/>
  <c r="A160" i="36"/>
  <c r="A161" i="36" s="1"/>
  <c r="C163" i="36" s="1"/>
  <c r="A172" i="36"/>
  <c r="A174" i="36"/>
  <c r="A175" i="36" s="1"/>
  <c r="A187" i="36"/>
  <c r="C188" i="36"/>
  <c r="A189" i="36"/>
  <c r="A201" i="36"/>
  <c r="A204" i="36"/>
  <c r="A203" i="36" s="1"/>
  <c r="A215" i="36"/>
  <c r="G216" i="36"/>
  <c r="A217" i="36"/>
  <c r="E219" i="36"/>
  <c r="A218" i="36"/>
  <c r="A231" i="36"/>
  <c r="A233" i="36"/>
  <c r="A234" i="36" s="1"/>
  <c r="A23" i="22"/>
  <c r="E234" i="36"/>
  <c r="A247" i="36"/>
  <c r="A248" i="36"/>
  <c r="A251" i="36"/>
  <c r="A252" i="36"/>
  <c r="A249" i="36"/>
  <c r="A266" i="36"/>
  <c r="A267" i="36"/>
  <c r="A268" i="36"/>
  <c r="A270" i="36" s="1"/>
  <c r="A282" i="36"/>
  <c r="C287" i="36"/>
  <c r="A284" i="36"/>
  <c r="A285" i="36"/>
  <c r="A286" i="36" s="1"/>
  <c r="A288" i="36"/>
  <c r="A289" i="36" s="1"/>
  <c r="D324" i="36"/>
  <c r="A326" i="36"/>
  <c r="A325" i="36"/>
  <c r="A17" i="22"/>
  <c r="A340" i="36"/>
  <c r="A341" i="36" s="1"/>
  <c r="A342" i="36"/>
  <c r="A343" i="36"/>
  <c r="A354" i="36"/>
  <c r="A356" i="36"/>
  <c r="A355" i="36" s="1"/>
  <c r="E355" i="36" s="1"/>
  <c r="A367" i="36"/>
  <c r="G367" i="36"/>
  <c r="A368" i="36"/>
  <c r="A369" i="36"/>
  <c r="A381" i="36"/>
  <c r="A383" i="36"/>
  <c r="D396" i="36"/>
  <c r="A398" i="36"/>
  <c r="G396" i="36" s="1"/>
  <c r="I396" i="36" s="1"/>
  <c r="A397" i="36"/>
  <c r="A413" i="36"/>
  <c r="A414" i="36"/>
  <c r="A415" i="36" s="1"/>
  <c r="A426" i="36"/>
  <c r="A427" i="36"/>
  <c r="A428" i="36"/>
  <c r="A439" i="36"/>
  <c r="F439" i="36"/>
  <c r="A440" i="36"/>
  <c r="A452" i="36"/>
  <c r="A453" i="36"/>
  <c r="A454" i="36"/>
  <c r="A465" i="36"/>
  <c r="A466" i="36"/>
  <c r="A477" i="36"/>
  <c r="A478" i="36"/>
  <c r="A479" i="36"/>
  <c r="A492" i="36"/>
  <c r="F492" i="36"/>
  <c r="A494" i="36" s="1"/>
  <c r="F493" i="36" s="1"/>
  <c r="A495" i="36"/>
  <c r="A506" i="36"/>
  <c r="A508" i="36"/>
  <c r="A507" i="36" s="1"/>
  <c r="A15" i="40"/>
  <c r="A16" i="40"/>
  <c r="A14" i="40" s="1"/>
  <c r="E14" i="40"/>
  <c r="A27" i="40"/>
  <c r="A28" i="40"/>
  <c r="A40" i="40"/>
  <c r="A41" i="40" s="1"/>
  <c r="A42" i="40"/>
  <c r="A57" i="40"/>
  <c r="D57" i="40" s="1"/>
  <c r="A58" i="40"/>
  <c r="D58" i="40" s="1"/>
  <c r="A72" i="40"/>
  <c r="A73" i="40" s="1"/>
  <c r="A75" i="40"/>
  <c r="A74" i="40"/>
  <c r="A77" i="40"/>
  <c r="E77" i="40" s="1"/>
  <c r="E74" i="40"/>
  <c r="A91" i="40"/>
  <c r="A92" i="40"/>
  <c r="A94" i="40"/>
  <c r="A106" i="40"/>
  <c r="A107" i="40"/>
  <c r="A110" i="40"/>
  <c r="A108" i="40"/>
  <c r="A123" i="40"/>
  <c r="E123" i="40" s="1"/>
  <c r="A145" i="40"/>
  <c r="A146" i="40"/>
  <c r="D157" i="40"/>
  <c r="A157" i="40" s="1"/>
  <c r="D159" i="40"/>
  <c r="A159" i="40" s="1"/>
  <c r="I157" i="40"/>
  <c r="D172" i="40"/>
  <c r="A172" i="40" s="1"/>
  <c r="D174" i="40"/>
  <c r="A174" i="40" s="1"/>
  <c r="A178" i="40"/>
  <c r="A177" i="40" s="1"/>
  <c r="C177" i="40" s="1"/>
  <c r="D190" i="40"/>
  <c r="D191" i="40" s="1"/>
  <c r="A191" i="40" s="1"/>
  <c r="A195" i="40"/>
  <c r="A196" i="40" s="1"/>
  <c r="D192" i="40"/>
  <c r="A192" i="40" s="1"/>
  <c r="F192" i="40"/>
  <c r="I192" i="40" s="1"/>
  <c r="D208" i="40"/>
  <c r="A208" i="40" s="1"/>
  <c r="F208" i="40"/>
  <c r="A213" i="40" s="1"/>
  <c r="C213" i="40" s="1"/>
  <c r="F209" i="40"/>
  <c r="D210" i="40"/>
  <c r="A210" i="40" s="1"/>
  <c r="A225" i="40"/>
  <c r="C225" i="40" s="1"/>
  <c r="A227" i="40"/>
  <c r="A228" i="40" s="1"/>
  <c r="C239" i="40"/>
  <c r="A241" i="40" s="1"/>
  <c r="A242" i="40"/>
  <c r="A243" i="40" s="1"/>
  <c r="D255" i="40"/>
  <c r="D256" i="40" s="1"/>
  <c r="F255" i="40"/>
  <c r="A260" i="40" s="1"/>
  <c r="C263" i="40" s="1"/>
  <c r="D257" i="40"/>
  <c r="A257" i="40" s="1"/>
  <c r="D272" i="40"/>
  <c r="A272" i="40" s="1"/>
  <c r="F272" i="40"/>
  <c r="A277" i="40" s="1"/>
  <c r="C277" i="40" s="1"/>
  <c r="D274" i="40"/>
  <c r="A274" i="40" s="1"/>
  <c r="A289" i="40"/>
  <c r="E289" i="40"/>
  <c r="A290" i="40"/>
  <c r="A291" i="40"/>
  <c r="A310" i="40"/>
  <c r="C310" i="40" s="1"/>
  <c r="A312" i="40"/>
  <c r="A314" i="40" s="1"/>
  <c r="A315" i="40"/>
  <c r="A327" i="40"/>
  <c r="C327" i="40" s="1"/>
  <c r="A329" i="40"/>
  <c r="F328" i="40" s="1"/>
  <c r="A342" i="40"/>
  <c r="C342" i="40" s="1"/>
  <c r="C344" i="40"/>
  <c r="A344" i="40" s="1"/>
  <c r="A346" i="40"/>
  <c r="I346" i="40"/>
  <c r="A12" i="41"/>
  <c r="A13" i="41"/>
  <c r="A14" i="41"/>
  <c r="A15" i="41"/>
  <c r="A26" i="41"/>
  <c r="A27" i="41"/>
  <c r="D26" i="41" s="1"/>
  <c r="C28" i="41"/>
  <c r="C29" i="41"/>
  <c r="A40" i="41"/>
  <c r="A42" i="41"/>
  <c r="A41" i="41"/>
  <c r="A43" i="41" s="1"/>
  <c r="A56" i="41"/>
  <c r="A58" i="41"/>
  <c r="A57" i="41"/>
  <c r="A59" i="41" s="1"/>
  <c r="A60" i="41" s="1"/>
  <c r="A73" i="41"/>
  <c r="A76" i="41"/>
  <c r="A74" i="41"/>
  <c r="A75" i="41"/>
  <c r="F20" i="22"/>
  <c r="A102" i="41"/>
  <c r="A103" i="41"/>
  <c r="A104" i="41"/>
  <c r="A117" i="41"/>
  <c r="A119" i="41"/>
  <c r="A120" i="41"/>
  <c r="A127" i="41" s="1"/>
  <c r="A121" i="41"/>
  <c r="F120" i="41" s="1"/>
  <c r="A125" i="41"/>
  <c r="F149" i="41"/>
  <c r="B150" i="41"/>
  <c r="B151" i="41" s="1"/>
  <c r="B153" i="41" s="1"/>
  <c r="A173" i="41"/>
  <c r="G172" i="41"/>
  <c r="A174" i="41"/>
  <c r="A175" i="41"/>
  <c r="D173" i="41"/>
  <c r="D174" i="41"/>
  <c r="A190" i="41"/>
  <c r="D189" i="41"/>
  <c r="A191" i="41"/>
  <c r="A192" i="41"/>
  <c r="D190" i="41"/>
  <c r="A205" i="41"/>
  <c r="A206" i="41"/>
  <c r="C206" i="41" s="1"/>
  <c r="A207" i="41"/>
  <c r="A208" i="41"/>
  <c r="C208" i="41" s="1"/>
  <c r="D205" i="41"/>
  <c r="A219" i="41"/>
  <c r="A221" i="41"/>
  <c r="A223" i="41"/>
  <c r="A234" i="41"/>
  <c r="A238" i="41"/>
  <c r="C238" i="41" s="1"/>
  <c r="A235" i="41"/>
  <c r="C236" i="41"/>
  <c r="C237" i="41"/>
  <c r="A249" i="41"/>
  <c r="A250" i="41"/>
  <c r="A261" i="41"/>
  <c r="A263" i="41"/>
  <c r="A262" i="41"/>
  <c r="A288" i="41"/>
  <c r="A289" i="41"/>
  <c r="C289" i="41" s="1"/>
  <c r="A290" i="41"/>
  <c r="A291" i="41"/>
  <c r="C291" i="41" s="1"/>
  <c r="D288" i="41"/>
  <c r="A304" i="41"/>
  <c r="A305" i="41"/>
  <c r="A306" i="41"/>
  <c r="A307" i="41"/>
  <c r="D304" i="41"/>
  <c r="A319" i="41"/>
  <c r="C319" i="41"/>
  <c r="D322" i="41" s="1"/>
  <c r="A321" i="41"/>
  <c r="A332" i="41"/>
  <c r="A354" i="41"/>
  <c r="A349" i="41"/>
  <c r="A350" i="41" s="1"/>
  <c r="A351" i="41" s="1"/>
  <c r="A352" i="41" s="1"/>
  <c r="A347" i="41"/>
  <c r="H343" i="41"/>
  <c r="H350" i="41" s="1"/>
  <c r="H344" i="41"/>
  <c r="A366" i="41"/>
  <c r="A368" i="41"/>
  <c r="G366" i="41" s="1"/>
  <c r="D369" i="41"/>
  <c r="A380" i="41"/>
  <c r="G380" i="41" s="1"/>
  <c r="A382" i="41" s="1"/>
  <c r="D383" i="41"/>
  <c r="A397" i="41"/>
  <c r="H398" i="41" s="1"/>
  <c r="A395" i="41"/>
  <c r="H397" i="41"/>
  <c r="A414" i="41"/>
  <c r="A416" i="41"/>
  <c r="A417" i="41"/>
  <c r="A424" i="41" s="1"/>
  <c r="A418" i="41"/>
  <c r="C418" i="41" s="1"/>
  <c r="A419" i="41"/>
  <c r="A423" i="41"/>
  <c r="A11" i="34"/>
  <c r="A12" i="34"/>
  <c r="A13" i="34"/>
  <c r="A14" i="34"/>
  <c r="A25" i="34"/>
  <c r="A28" i="34"/>
  <c r="A26" i="34"/>
  <c r="A27" i="34" s="1"/>
  <c r="A39" i="34"/>
  <c r="A40" i="34"/>
  <c r="A41" i="34"/>
  <c r="C41" i="34" s="1"/>
  <c r="E40" i="34"/>
  <c r="E43" i="34"/>
  <c r="A55" i="34"/>
  <c r="A57" i="34"/>
  <c r="A56" i="34"/>
  <c r="A60" i="34"/>
  <c r="A58" i="34"/>
  <c r="A59" i="34" s="1"/>
  <c r="A71" i="34"/>
  <c r="A72" i="34"/>
  <c r="A73" i="34"/>
  <c r="A75" i="34" s="1"/>
  <c r="A77" i="34"/>
  <c r="A89" i="34"/>
  <c r="A95" i="34"/>
  <c r="A90" i="34"/>
  <c r="A93" i="34"/>
  <c r="A92" i="34"/>
  <c r="A108" i="34"/>
  <c r="A109" i="34" s="1"/>
  <c r="A110" i="34" s="1"/>
  <c r="A111" i="34"/>
  <c r="A112" i="34"/>
  <c r="A125" i="34"/>
  <c r="A126" i="34"/>
  <c r="A127" i="34"/>
  <c r="A128" i="34"/>
  <c r="A140" i="34"/>
  <c r="A144" i="34"/>
  <c r="E140" i="34" s="1"/>
  <c r="A141" i="34"/>
  <c r="A142" i="34"/>
  <c r="A143" i="34" s="1"/>
  <c r="A145" i="34" s="1"/>
  <c r="A156" i="34"/>
  <c r="E156" i="34"/>
  <c r="A158" i="34"/>
  <c r="A172" i="34"/>
  <c r="E172" i="34"/>
  <c r="C179" i="34" s="1"/>
  <c r="A174" i="34"/>
  <c r="A188" i="34"/>
  <c r="A189" i="34"/>
  <c r="A201" i="34"/>
  <c r="A203" i="34"/>
  <c r="A204" i="34"/>
  <c r="A205" i="34" s="1"/>
  <c r="A202" i="34"/>
  <c r="A230" i="34"/>
  <c r="A231" i="34"/>
  <c r="A233" i="34" s="1"/>
  <c r="A232" i="34"/>
  <c r="A234" i="34"/>
  <c r="A256" i="34"/>
  <c r="A257" i="34"/>
  <c r="A260" i="34"/>
  <c r="C261" i="34" s="1"/>
  <c r="A258" i="34"/>
  <c r="A274" i="34"/>
  <c r="D274" i="34" s="1"/>
  <c r="A275" i="34"/>
  <c r="D275" i="34" s="1"/>
  <c r="A276" i="34"/>
  <c r="D276" i="34"/>
  <c r="C281" i="34" s="1"/>
  <c r="A290" i="34"/>
  <c r="A292" i="34"/>
  <c r="A295" i="34" s="1"/>
  <c r="A291" i="34"/>
  <c r="A293" i="34" s="1"/>
  <c r="A294" i="34" s="1"/>
  <c r="F294" i="34" s="1"/>
  <c r="A307" i="34"/>
  <c r="A311" i="34"/>
  <c r="A308" i="34"/>
  <c r="A309" i="34"/>
  <c r="A310" i="34"/>
  <c r="D311" i="34"/>
  <c r="A326" i="34"/>
  <c r="A327" i="34"/>
  <c r="A340" i="34"/>
  <c r="A342" i="34"/>
  <c r="A341" i="34"/>
  <c r="A356" i="34"/>
  <c r="A358" i="34"/>
  <c r="A357" i="34"/>
  <c r="A359" i="34" s="1"/>
  <c r="A361" i="34"/>
  <c r="A396" i="34"/>
  <c r="A400" i="34"/>
  <c r="A397" i="34"/>
  <c r="A399" i="34" s="1"/>
  <c r="A398" i="34"/>
  <c r="A415" i="34"/>
  <c r="A416" i="34"/>
  <c r="D415" i="34" s="1"/>
  <c r="A417" i="34"/>
  <c r="A429" i="34"/>
  <c r="A430" i="34"/>
  <c r="D429" i="34" s="1"/>
  <c r="A431" i="34"/>
  <c r="A442" i="34"/>
  <c r="A444" i="34"/>
  <c r="A443" i="34"/>
  <c r="A455" i="34"/>
  <c r="A457" i="34"/>
  <c r="A456" i="34"/>
  <c r="A468" i="34"/>
  <c r="A470" i="34"/>
  <c r="A469" i="34"/>
  <c r="A481" i="34"/>
  <c r="A483" i="34"/>
  <c r="A482" i="34"/>
  <c r="A484" i="34"/>
  <c r="A485" i="34"/>
  <c r="A496" i="34"/>
  <c r="A498" i="34"/>
  <c r="A497" i="34"/>
  <c r="A499" i="34"/>
  <c r="A511" i="34"/>
  <c r="A513" i="34"/>
  <c r="A512" i="34"/>
  <c r="D512" i="34" s="1"/>
  <c r="A524" i="34"/>
  <c r="A526" i="34"/>
  <c r="C526" i="34" s="1"/>
  <c r="A525" i="34"/>
  <c r="C525" i="34" s="1"/>
  <c r="D525" i="34"/>
  <c r="C528" i="34" s="1"/>
  <c r="A537" i="34"/>
  <c r="D537" i="34"/>
  <c r="A538" i="34"/>
  <c r="C538" i="34" s="1"/>
  <c r="A539" i="34"/>
  <c r="C539" i="34" s="1"/>
  <c r="A550" i="34"/>
  <c r="A552" i="34"/>
  <c r="A551" i="34"/>
  <c r="A563" i="34"/>
  <c r="A565" i="34"/>
  <c r="A564" i="34"/>
  <c r="A576" i="34"/>
  <c r="D578" i="34" s="1"/>
  <c r="A578" i="34"/>
  <c r="C578" i="34" s="1"/>
  <c r="A577" i="34"/>
  <c r="A589" i="34"/>
  <c r="D591" i="34" s="1"/>
  <c r="A591" i="34"/>
  <c r="C591" i="34" s="1"/>
  <c r="A590" i="34"/>
  <c r="A602" i="34"/>
  <c r="C602" i="34" s="1"/>
  <c r="A603" i="34"/>
  <c r="C603" i="34" s="1"/>
  <c r="A614" i="34"/>
  <c r="D614" i="34" s="1"/>
  <c r="C616" i="34" s="1"/>
  <c r="A625" i="34"/>
  <c r="A627" i="34"/>
  <c r="A626" i="34"/>
  <c r="A638" i="34"/>
  <c r="A640" i="34"/>
  <c r="A639" i="34"/>
  <c r="A651" i="34"/>
  <c r="A653" i="34"/>
  <c r="A652" i="34"/>
  <c r="C652" i="34" s="1"/>
  <c r="A664" i="34"/>
  <c r="A666" i="34"/>
  <c r="C666" i="34" s="1"/>
  <c r="A665" i="34"/>
  <c r="C665" i="34" s="1"/>
  <c r="A677" i="34"/>
  <c r="A679" i="34"/>
  <c r="C679" i="34" s="1"/>
  <c r="A678" i="34"/>
  <c r="C678" i="34" s="1"/>
  <c r="A690" i="34"/>
  <c r="A692" i="34"/>
  <c r="C692" i="34" s="1"/>
  <c r="A691" i="34"/>
  <c r="C691" i="34" s="1"/>
  <c r="A703" i="34"/>
  <c r="A704" i="34"/>
  <c r="A705" i="34"/>
  <c r="C705" i="34" s="1"/>
  <c r="A706" i="34"/>
  <c r="C706" i="34" s="1"/>
  <c r="A717" i="34"/>
  <c r="A718" i="34"/>
  <c r="A721" i="34"/>
  <c r="A722" i="34" s="1"/>
  <c r="A719" i="34"/>
  <c r="A720" i="34"/>
  <c r="A733" i="34"/>
  <c r="A737" i="34"/>
  <c r="A734" i="34"/>
  <c r="A735" i="34"/>
  <c r="C736" i="34"/>
  <c r="H12" i="32"/>
  <c r="H13" i="32" s="1"/>
  <c r="A13" i="32"/>
  <c r="A15" i="32"/>
  <c r="A14" i="32"/>
  <c r="A27" i="32"/>
  <c r="A31" i="32"/>
  <c r="A28" i="32"/>
  <c r="A29" i="32"/>
  <c r="E32" i="32" s="1"/>
  <c r="A44" i="32"/>
  <c r="A47" i="32" s="1"/>
  <c r="D48" i="32" s="1"/>
  <c r="A45" i="32"/>
  <c r="A46" i="32"/>
  <c r="A59" i="32"/>
  <c r="A60" i="32"/>
  <c r="C61" i="32"/>
  <c r="A75" i="32"/>
  <c r="A77" i="32"/>
  <c r="A76" i="32"/>
  <c r="A88" i="32"/>
  <c r="A101" i="32"/>
  <c r="A103" i="32" s="1"/>
  <c r="A102" i="32"/>
  <c r="A115" i="32"/>
  <c r="A117" i="32"/>
  <c r="A116" i="32"/>
  <c r="A129" i="32"/>
  <c r="A130" i="32"/>
  <c r="A131" i="32"/>
  <c r="A143" i="32"/>
  <c r="A145" i="32"/>
  <c r="A144" i="32"/>
  <c r="H143" i="32"/>
  <c r="H145" i="32" s="1"/>
  <c r="A180" i="32"/>
  <c r="I180" i="32"/>
  <c r="A181" i="32"/>
  <c r="E181" i="32" s="1"/>
  <c r="A182" i="32"/>
  <c r="E182" i="32" s="1"/>
  <c r="A183" i="32"/>
  <c r="E183" i="32" s="1"/>
  <c r="A199" i="32"/>
  <c r="A200" i="32"/>
  <c r="A201" i="32"/>
  <c r="A213" i="32"/>
  <c r="A215" i="32"/>
  <c r="A214" i="32"/>
  <c r="A226" i="32"/>
  <c r="A228" i="32"/>
  <c r="A227" i="32"/>
  <c r="A239" i="32"/>
  <c r="A241" i="32"/>
  <c r="A240" i="32"/>
  <c r="A253" i="32"/>
  <c r="D254" i="32"/>
  <c r="D256" i="32"/>
  <c r="D253" i="32"/>
  <c r="A268" i="32"/>
  <c r="D268" i="32"/>
  <c r="D270" i="32"/>
  <c r="H268" i="32" s="1"/>
  <c r="I268" i="32"/>
  <c r="A269" i="32"/>
  <c r="D269" i="32"/>
  <c r="I269" i="32"/>
  <c r="A270" i="32"/>
  <c r="A282" i="32"/>
  <c r="A284" i="32"/>
  <c r="A296" i="32"/>
  <c r="A298" i="32"/>
  <c r="A297" i="32"/>
  <c r="C300" i="32" s="1"/>
  <c r="A309" i="32"/>
  <c r="A311" i="32"/>
  <c r="A310" i="32"/>
  <c r="C313" i="32" s="1"/>
  <c r="A322" i="32"/>
  <c r="A324" i="32"/>
  <c r="A323" i="32"/>
  <c r="C326" i="32" s="1"/>
  <c r="A335" i="32"/>
  <c r="A337" i="32"/>
  <c r="A336" i="32"/>
  <c r="C339" i="32" s="1"/>
  <c r="A348" i="32"/>
  <c r="A350" i="32"/>
  <c r="C352" i="32" s="1"/>
  <c r="A349" i="32"/>
  <c r="A361" i="32"/>
  <c r="A363" i="32"/>
  <c r="C365" i="32" s="1"/>
  <c r="A362" i="32"/>
  <c r="A374" i="32"/>
  <c r="A376" i="32"/>
  <c r="C378" i="32" s="1"/>
  <c r="A375" i="32"/>
  <c r="A388" i="32"/>
  <c r="A389" i="32" s="1"/>
  <c r="C391" i="32" s="1"/>
  <c r="A400" i="32"/>
  <c r="A401" i="32"/>
  <c r="A414" i="32"/>
  <c r="A416" i="32"/>
  <c r="A415" i="32"/>
  <c r="D415" i="32"/>
  <c r="A429" i="32"/>
  <c r="A431" i="32"/>
  <c r="A430" i="32"/>
  <c r="A443" i="32"/>
  <c r="A445" i="32"/>
  <c r="L443" i="32"/>
  <c r="L444" i="32" s="1"/>
  <c r="A444" i="32"/>
  <c r="K457" i="32"/>
  <c r="K458" i="32" s="1"/>
  <c r="A458" i="32"/>
  <c r="A460" i="32"/>
  <c r="D460" i="32" s="1"/>
  <c r="A459" i="32"/>
  <c r="D459" i="32"/>
  <c r="H471" i="32"/>
  <c r="H472" i="32" s="1"/>
  <c r="K471" i="32"/>
  <c r="K472" i="32" s="1"/>
  <c r="A472" i="32"/>
  <c r="A474" i="32"/>
  <c r="A473" i="32"/>
  <c r="G495" i="32"/>
  <c r="G498" i="32" s="1"/>
  <c r="A496" i="32"/>
  <c r="G501" i="32" s="1"/>
  <c r="A498" i="32"/>
  <c r="A497" i="32"/>
  <c r="A511" i="32"/>
  <c r="A513" i="32"/>
  <c r="N512" i="32"/>
  <c r="N513" i="32" s="1"/>
  <c r="A512" i="32"/>
  <c r="D512" i="32"/>
  <c r="H527" i="32"/>
  <c r="H530" i="32" s="1"/>
  <c r="A528" i="32"/>
  <c r="C532" i="32" s="1"/>
  <c r="A530" i="32"/>
  <c r="A529" i="32"/>
  <c r="D541" i="32"/>
  <c r="D543" i="32" s="1"/>
  <c r="A542" i="32"/>
  <c r="A543" i="32"/>
  <c r="A544" i="32"/>
  <c r="D556" i="32"/>
  <c r="D559" i="32" s="1"/>
  <c r="A557" i="32"/>
  <c r="A558" i="32"/>
  <c r="A559" i="32"/>
  <c r="A571" i="32"/>
  <c r="A573" i="32"/>
  <c r="H571" i="32"/>
  <c r="H574" i="32" s="1"/>
  <c r="A572" i="32" s="1"/>
  <c r="D573" i="32" s="1"/>
  <c r="C576" i="32" s="1"/>
  <c r="A585" i="32"/>
  <c r="A587" i="32"/>
  <c r="H585" i="32"/>
  <c r="D599" i="32"/>
  <c r="D602" i="32" s="1"/>
  <c r="A601" i="32" s="1"/>
  <c r="C605" i="32" s="1"/>
  <c r="A600" i="32"/>
  <c r="A602" i="32"/>
  <c r="A615" i="32"/>
  <c r="D615" i="32"/>
  <c r="A617" i="32"/>
  <c r="H615" i="32" s="1"/>
  <c r="I615" i="32"/>
  <c r="A616" i="32"/>
  <c r="D616" i="32"/>
  <c r="H616" i="32"/>
  <c r="D617" i="32"/>
  <c r="A632" i="32"/>
  <c r="D631" i="32" s="1"/>
  <c r="G636" i="32" s="1"/>
  <c r="A645" i="32"/>
  <c r="D645" i="32" s="1"/>
  <c r="D27" i="22"/>
  <c r="A660" i="32"/>
  <c r="A661" i="32"/>
  <c r="F660" i="32" s="1"/>
  <c r="A662" i="32"/>
  <c r="F663" i="32"/>
  <c r="F666" i="32" s="1"/>
  <c r="A678" i="32"/>
  <c r="A679" i="32" s="1"/>
  <c r="C681" i="32" s="1"/>
  <c r="J690" i="32"/>
  <c r="J691" i="32" s="1"/>
  <c r="A691" i="32"/>
  <c r="A693" i="32"/>
  <c r="A692" i="32"/>
  <c r="A705" i="32"/>
  <c r="A707" i="32"/>
  <c r="A706" i="32"/>
  <c r="A708" i="32"/>
  <c r="A720" i="32"/>
  <c r="D720" i="32"/>
  <c r="A721" i="32"/>
  <c r="D721" i="32"/>
  <c r="A722" i="32"/>
  <c r="A723" i="32"/>
  <c r="A735" i="32"/>
  <c r="D735" i="32"/>
  <c r="A736" i="32"/>
  <c r="D736" i="32"/>
  <c r="A737" i="32"/>
  <c r="A738" i="32"/>
  <c r="A739" i="32" s="1"/>
  <c r="A750" i="32"/>
  <c r="A752" i="32"/>
  <c r="A751" i="32"/>
  <c r="A753" i="32"/>
  <c r="A764" i="32"/>
  <c r="A768" i="32"/>
  <c r="A765" i="32"/>
  <c r="A766" i="32"/>
  <c r="A767" i="32"/>
  <c r="D765" i="32"/>
  <c r="A780" i="32"/>
  <c r="D781" i="32" s="1"/>
  <c r="F781" i="32" s="1"/>
  <c r="A781" i="32"/>
  <c r="A782" i="32"/>
  <c r="A783" i="32"/>
  <c r="A784" i="32"/>
  <c r="A796" i="32"/>
  <c r="A797" i="32"/>
  <c r="A798" i="32"/>
  <c r="A811" i="32"/>
  <c r="A812" i="32"/>
  <c r="A813" i="32"/>
  <c r="A827" i="32"/>
  <c r="A828" i="32"/>
  <c r="D827" i="32"/>
  <c r="D828" i="32"/>
  <c r="A841" i="32"/>
  <c r="A842" i="32"/>
  <c r="A843" i="32"/>
  <c r="D841" i="32"/>
  <c r="D842" i="32"/>
  <c r="D843" i="32"/>
  <c r="A856" i="32"/>
  <c r="A858" i="32"/>
  <c r="C858" i="32" s="1"/>
  <c r="D855" i="32"/>
  <c r="A857" i="32"/>
  <c r="D856" i="32"/>
  <c r="A870" i="32"/>
  <c r="A872" i="32"/>
  <c r="A871" i="32"/>
  <c r="A883" i="32"/>
  <c r="A885" i="32"/>
  <c r="A884" i="32"/>
  <c r="C884" i="32" s="1"/>
  <c r="A898" i="32"/>
  <c r="A904" i="32" s="1"/>
  <c r="A899" i="32"/>
  <c r="A900" i="32"/>
  <c r="A901" i="32"/>
  <c r="A905" i="32"/>
  <c r="A907" i="32"/>
  <c r="A925" i="32"/>
  <c r="A926" i="32"/>
  <c r="A927" i="32" s="1"/>
  <c r="A928" i="32"/>
  <c r="A939" i="32"/>
  <c r="A940" i="32"/>
  <c r="A942" i="32" s="1"/>
  <c r="E941" i="32" s="1"/>
  <c r="C945" i="32" s="1"/>
  <c r="A941" i="32"/>
  <c r="A955" i="32"/>
  <c r="A956" i="32"/>
  <c r="C958" i="32" s="1"/>
  <c r="A957" i="32"/>
  <c r="A970" i="32"/>
  <c r="A974" i="32"/>
  <c r="A971" i="32"/>
  <c r="A972" i="32"/>
  <c r="A973" i="32"/>
  <c r="D971" i="32"/>
  <c r="A15" i="39"/>
  <c r="C15" i="39" s="1"/>
  <c r="A18" i="39"/>
  <c r="A22" i="39"/>
  <c r="A19" i="39"/>
  <c r="A20" i="39"/>
  <c r="A23" i="39"/>
  <c r="A39" i="39"/>
  <c r="C38" i="39" s="1"/>
  <c r="A44" i="39"/>
  <c r="A42" i="39"/>
  <c r="A43" i="39"/>
  <c r="F45" i="39"/>
  <c r="A46" i="39"/>
  <c r="A62" i="39"/>
  <c r="A61" i="39" s="1"/>
  <c r="A59" i="39" s="1"/>
  <c r="D67" i="39"/>
  <c r="A67" i="39" s="1"/>
  <c r="A65" i="39"/>
  <c r="A66" i="39"/>
  <c r="A64" i="39"/>
  <c r="A80" i="39"/>
  <c r="A81" i="39"/>
  <c r="A85" i="39" s="1"/>
  <c r="G94" i="39"/>
  <c r="A143" i="39"/>
  <c r="A145" i="39"/>
  <c r="A144" i="39"/>
  <c r="A151" i="39"/>
  <c r="A152" i="39"/>
  <c r="A153" i="39"/>
  <c r="A154" i="39"/>
  <c r="A156" i="39"/>
  <c r="A157" i="39"/>
  <c r="A178" i="39"/>
  <c r="A179" i="39"/>
  <c r="A180" i="39"/>
  <c r="D28" i="22"/>
  <c r="G74" i="40" s="1"/>
  <c r="A210" i="39"/>
  <c r="A211" i="39"/>
  <c r="E210" i="39" s="1"/>
  <c r="F210" i="39" s="1"/>
  <c r="F212" i="39" s="1"/>
  <c r="A223" i="39"/>
  <c r="A224" i="39" s="1"/>
  <c r="E223" i="39"/>
  <c r="C227" i="39" s="1"/>
  <c r="A248" i="39"/>
  <c r="E248" i="39"/>
  <c r="A277" i="39"/>
  <c r="A278" i="39"/>
  <c r="A290" i="39"/>
  <c r="A291" i="39" s="1"/>
  <c r="E291" i="39" s="1"/>
  <c r="A292" i="39"/>
  <c r="A303" i="39"/>
  <c r="A304" i="39"/>
  <c r="A306" i="39"/>
  <c r="A317" i="39"/>
  <c r="A318" i="39"/>
  <c r="A319" i="39" s="1"/>
  <c r="A333" i="39"/>
  <c r="C333" i="39" s="1"/>
  <c r="A336" i="39"/>
  <c r="A337" i="39"/>
  <c r="A338" i="39"/>
  <c r="A340" i="39"/>
  <c r="A357" i="39"/>
  <c r="C356" i="39" s="1"/>
  <c r="A359" i="39"/>
  <c r="A362" i="39"/>
  <c r="A364" i="39"/>
  <c r="A366" i="39"/>
  <c r="A365" i="39"/>
  <c r="A380" i="39"/>
  <c r="A381" i="39"/>
  <c r="C388" i="39"/>
  <c r="E386" i="39"/>
  <c r="F386" i="39" s="1"/>
  <c r="F390" i="39"/>
  <c r="A402" i="39"/>
  <c r="A403" i="39"/>
  <c r="A404" i="39"/>
  <c r="A418" i="39"/>
  <c r="C418" i="39" s="1"/>
  <c r="L418" i="39"/>
  <c r="N418" i="39" s="1"/>
  <c r="U420" i="39" s="1"/>
  <c r="L422" i="39" s="1"/>
  <c r="U421" i="39"/>
  <c r="A422" i="39"/>
  <c r="A423" i="39"/>
  <c r="A427" i="39"/>
  <c r="L421" i="39"/>
  <c r="U422" i="39"/>
  <c r="U426" i="39"/>
  <c r="A449" i="39"/>
  <c r="A450" i="39" s="1"/>
  <c r="A469" i="39"/>
  <c r="A471" i="39" s="1"/>
  <c r="A472" i="39"/>
  <c r="A473" i="39"/>
  <c r="A470" i="39"/>
  <c r="A474" i="39"/>
  <c r="A475" i="39" s="1"/>
  <c r="A492" i="39"/>
  <c r="A493" i="39"/>
  <c r="A512" i="39"/>
  <c r="A513" i="39"/>
  <c r="A521" i="39"/>
  <c r="A555" i="39"/>
  <c r="A556" i="39"/>
  <c r="A563" i="39"/>
  <c r="A564" i="39" s="1"/>
  <c r="A581" i="39"/>
  <c r="A583" i="39" s="1"/>
  <c r="A582" i="39"/>
  <c r="A594" i="39"/>
  <c r="A595" i="39"/>
  <c r="A596" i="39"/>
  <c r="A600" i="39"/>
  <c r="A614" i="39"/>
  <c r="A615" i="39"/>
  <c r="A616" i="39"/>
  <c r="A620" i="39"/>
  <c r="A634" i="39"/>
  <c r="A635" i="39"/>
  <c r="A650" i="39"/>
  <c r="A652" i="39"/>
  <c r="A651" i="39"/>
  <c r="A657" i="39"/>
  <c r="I658" i="39"/>
  <c r="A659" i="39"/>
  <c r="A676" i="39"/>
  <c r="D676" i="39" s="1"/>
  <c r="A677" i="39"/>
  <c r="D677" i="39"/>
  <c r="D682" i="39"/>
  <c r="A700" i="39"/>
  <c r="C699" i="39" s="1"/>
  <c r="A702" i="39"/>
  <c r="A705" i="39"/>
  <c r="A703" i="39"/>
  <c r="A704" i="39"/>
  <c r="A707" i="39"/>
  <c r="A708" i="39"/>
  <c r="A729" i="39"/>
  <c r="A730" i="39"/>
  <c r="A733" i="39"/>
  <c r="C734" i="39"/>
  <c r="A734" i="39" s="1"/>
  <c r="J729" i="39" s="1"/>
  <c r="A731" i="39"/>
  <c r="A732" i="39"/>
  <c r="A745" i="39"/>
  <c r="A747" i="39"/>
  <c r="A746" i="39"/>
  <c r="A758" i="39"/>
  <c r="C759" i="39"/>
  <c r="A771" i="39"/>
  <c r="A772" i="39"/>
  <c r="A786" i="39"/>
  <c r="A788" i="39"/>
  <c r="A787" i="39"/>
  <c r="A789" i="39"/>
  <c r="A800" i="39"/>
  <c r="A802" i="39"/>
  <c r="A801" i="39"/>
  <c r="A803" i="39"/>
  <c r="A814" i="39"/>
  <c r="A815" i="39"/>
  <c r="F815" i="39" s="1"/>
  <c r="A816" i="39"/>
  <c r="A829" i="39"/>
  <c r="A830" i="39"/>
  <c r="A836" i="39"/>
  <c r="D833" i="39"/>
  <c r="A834" i="39"/>
  <c r="A839" i="39"/>
  <c r="A838" i="39"/>
  <c r="A832" i="39"/>
  <c r="A835" i="39"/>
  <c r="A850" i="39"/>
  <c r="A853" i="39"/>
  <c r="A864" i="39"/>
  <c r="A867" i="39"/>
  <c r="A878" i="39"/>
  <c r="D880" i="39"/>
  <c r="E879" i="39"/>
  <c r="A881" i="39"/>
  <c r="A882" i="39"/>
  <c r="A879" i="39"/>
  <c r="A883" i="39"/>
  <c r="A884" i="39" s="1"/>
  <c r="A899" i="39"/>
  <c r="E899" i="39"/>
  <c r="A900" i="39"/>
  <c r="D901" i="39"/>
  <c r="A902" i="39"/>
  <c r="E901" i="39"/>
  <c r="A903" i="39"/>
  <c r="A904" i="39"/>
  <c r="A905" i="39" s="1"/>
  <c r="A921" i="39"/>
  <c r="A922" i="39"/>
  <c r="A930" i="39"/>
  <c r="F927" i="39" s="1"/>
  <c r="A943" i="39"/>
  <c r="A942" i="39" s="1"/>
  <c r="A944" i="39" s="1"/>
  <c r="C944" i="39" s="1"/>
  <c r="A948" i="39"/>
  <c r="A947" i="39" s="1"/>
  <c r="A949" i="39" s="1"/>
  <c r="C948" i="39" s="1"/>
  <c r="A952" i="39"/>
  <c r="E952" i="39"/>
  <c r="A964" i="39"/>
  <c r="A966" i="39"/>
  <c r="A965" i="39"/>
  <c r="G964" i="39"/>
  <c r="G966" i="39"/>
  <c r="G965" i="39"/>
  <c r="A984" i="39"/>
  <c r="C984" i="39" s="1"/>
  <c r="A1002" i="39"/>
  <c r="A1004" i="39" s="1"/>
  <c r="A1015" i="39"/>
  <c r="D1017" i="39"/>
  <c r="E1016" i="39"/>
  <c r="A1018" i="39"/>
  <c r="A1019" i="39"/>
  <c r="A1016" i="39"/>
  <c r="A1030" i="39"/>
  <c r="A1032" i="39" s="1"/>
  <c r="C11" i="33"/>
  <c r="C30" i="33"/>
  <c r="C46" i="33"/>
  <c r="C56" i="33"/>
  <c r="C62" i="33"/>
  <c r="B93" i="33"/>
  <c r="C95" i="33" s="1"/>
  <c r="C105" i="33"/>
  <c r="C118" i="33"/>
  <c r="C134" i="33"/>
  <c r="C150" i="33"/>
  <c r="C159" i="33"/>
  <c r="C168" i="33"/>
  <c r="C176" i="33"/>
  <c r="C185" i="33"/>
  <c r="C244" i="33"/>
  <c r="C253" i="33"/>
  <c r="C262" i="33"/>
  <c r="C271" i="33"/>
  <c r="C280" i="33"/>
  <c r="C289" i="33"/>
  <c r="C298" i="33"/>
  <c r="C316" i="33"/>
  <c r="C334" i="33"/>
  <c r="C343" i="33"/>
  <c r="G343" i="33"/>
  <c r="H343" i="33"/>
  <c r="C352" i="33"/>
  <c r="C361" i="33"/>
  <c r="C370" i="33"/>
  <c r="C379" i="33"/>
  <c r="C388" i="33"/>
  <c r="C397" i="33"/>
  <c r="C406" i="33"/>
  <c r="C415" i="33"/>
  <c r="C424" i="33"/>
  <c r="C433" i="33"/>
  <c r="C442" i="33"/>
  <c r="C451" i="33"/>
  <c r="C460" i="33"/>
  <c r="C469" i="33"/>
  <c r="C478" i="33"/>
  <c r="C487" i="33"/>
  <c r="C496" i="33"/>
  <c r="C505" i="33"/>
  <c r="C525" i="33"/>
  <c r="B534" i="33"/>
  <c r="B535" i="33"/>
  <c r="C558" i="33"/>
  <c r="C571" i="33"/>
  <c r="C584" i="33"/>
  <c r="C604" i="33"/>
  <c r="C624" i="33"/>
  <c r="C644" i="33"/>
  <c r="C664" i="33"/>
  <c r="C684" i="33"/>
  <c r="C693" i="33"/>
  <c r="C702" i="33"/>
  <c r="C711" i="33"/>
  <c r="C740" i="33"/>
  <c r="C760" i="33"/>
  <c r="C780" i="33"/>
  <c r="C789" i="33"/>
  <c r="B799" i="33"/>
  <c r="B800" i="33" s="1"/>
  <c r="B801" i="33"/>
  <c r="B802" i="33"/>
  <c r="C815" i="33"/>
  <c r="C829" i="33"/>
  <c r="C845" i="33"/>
  <c r="C865" i="33"/>
  <c r="C885" i="33"/>
  <c r="C894" i="33"/>
  <c r="C914" i="33"/>
  <c r="C934" i="33"/>
  <c r="C959" i="33"/>
  <c r="B968" i="33"/>
  <c r="C974" i="33" s="1"/>
  <c r="A1045" i="33"/>
  <c r="B1060" i="33"/>
  <c r="C1071" i="33"/>
  <c r="C1080" i="33"/>
  <c r="C1104" i="33"/>
  <c r="B1113" i="33"/>
  <c r="B1114" i="33"/>
  <c r="B1115" i="33"/>
  <c r="B1116" i="33"/>
  <c r="B1117" i="33"/>
  <c r="C1128" i="33"/>
  <c r="C1137" i="33"/>
  <c r="G1149" i="33"/>
  <c r="G1151" i="33"/>
  <c r="G1153" i="33"/>
  <c r="G1160" i="33"/>
  <c r="G1161" i="33"/>
  <c r="A1168" i="33"/>
  <c r="A1169" i="33"/>
  <c r="A1198" i="33"/>
  <c r="D1199" i="33"/>
  <c r="A1200" i="33"/>
  <c r="D1201" i="33"/>
  <c r="B1223" i="33"/>
  <c r="B1224" i="33"/>
  <c r="B1225" i="33"/>
  <c r="B1226" i="33"/>
  <c r="B1227" i="33"/>
  <c r="B1228" i="33"/>
  <c r="B1229" i="33"/>
  <c r="B1230" i="33"/>
  <c r="A1243" i="33"/>
  <c r="A1244" i="33"/>
  <c r="C1246" i="33"/>
  <c r="C1262" i="33"/>
  <c r="A1271" i="33"/>
  <c r="A1272" i="33"/>
  <c r="C1294" i="33"/>
  <c r="C1306" i="33"/>
  <c r="B1311" i="33"/>
  <c r="C1317" i="33" s="1"/>
  <c r="C1337" i="33"/>
  <c r="B1346" i="33"/>
  <c r="B1347" i="33"/>
  <c r="C1369" i="33"/>
  <c r="D1379" i="33"/>
  <c r="E1379" i="33" s="1"/>
  <c r="A1386" i="33"/>
  <c r="C1386" i="33" s="1"/>
  <c r="A1387" i="33"/>
  <c r="A1388" i="33" s="1"/>
  <c r="A1400" i="33"/>
  <c r="A1399" i="33" s="1"/>
  <c r="A1401" i="33"/>
  <c r="A1402" i="33"/>
  <c r="C1406" i="33"/>
  <c r="C1418" i="33"/>
  <c r="B1435" i="33"/>
  <c r="B1436" i="33"/>
  <c r="B1451" i="33"/>
  <c r="B1452" i="33"/>
  <c r="B1455" i="33"/>
  <c r="B1456" i="33"/>
  <c r="B1467" i="33"/>
  <c r="B1468" i="33"/>
  <c r="B1469" i="33"/>
  <c r="B1470" i="33"/>
  <c r="B1471" i="33"/>
  <c r="B1472" i="33"/>
  <c r="C1483" i="33"/>
  <c r="A1500" i="33"/>
  <c r="A1502" i="33" s="1"/>
  <c r="B1517" i="33"/>
  <c r="B1518" i="33"/>
  <c r="B1521" i="33"/>
  <c r="B1522" i="33"/>
  <c r="B1533" i="33"/>
  <c r="B1534" i="33"/>
  <c r="B1541" i="33"/>
  <c r="B1542" i="33"/>
  <c r="C1560" i="33"/>
  <c r="C1572" i="33"/>
  <c r="A1578" i="33"/>
  <c r="C1579" i="33"/>
  <c r="A1583" i="33"/>
  <c r="A1581" i="33"/>
  <c r="A1580" i="33" s="1"/>
  <c r="D1581" i="33" s="1"/>
  <c r="B1595" i="33"/>
  <c r="B1596" i="33"/>
  <c r="B1597" i="33"/>
  <c r="B1598" i="33"/>
  <c r="C1616" i="33"/>
  <c r="B1629" i="33"/>
  <c r="B1630" i="33"/>
  <c r="B1641" i="33"/>
  <c r="B1642" i="33"/>
  <c r="B1643" i="33"/>
  <c r="B1644" i="33"/>
  <c r="B1646" i="33"/>
  <c r="B1660" i="33"/>
  <c r="C1664" i="33" s="1"/>
  <c r="B1674" i="33"/>
  <c r="B1676" i="33"/>
  <c r="B1690" i="33"/>
  <c r="B1692" i="33"/>
  <c r="B1693" i="33"/>
  <c r="B1694" i="33"/>
  <c r="B1706" i="33"/>
  <c r="B1709" i="33"/>
  <c r="B1710" i="33"/>
  <c r="B1721" i="33"/>
  <c r="B1722" i="33"/>
  <c r="B1723" i="33"/>
  <c r="B1724" i="33"/>
  <c r="B1729" i="33"/>
  <c r="B1730" i="33"/>
  <c r="B1742" i="33"/>
  <c r="C1748" i="33" s="1"/>
  <c r="B1757" i="33"/>
  <c r="B1758" i="33"/>
  <c r="A12" i="46"/>
  <c r="A13" i="46"/>
  <c r="A15" i="46" s="1"/>
  <c r="A17" i="46" s="1"/>
  <c r="A14" i="46"/>
  <c r="A16" i="46"/>
  <c r="A30" i="46"/>
  <c r="A31" i="46"/>
  <c r="A32" i="46"/>
  <c r="A33" i="46"/>
  <c r="C33" i="46" s="1"/>
  <c r="A47" i="46"/>
  <c r="A49" i="46"/>
  <c r="A48" i="46"/>
  <c r="A60" i="46"/>
  <c r="A61" i="46"/>
  <c r="A62" i="46"/>
  <c r="G78" i="46"/>
  <c r="B73" i="46" s="1"/>
  <c r="C73" i="46"/>
  <c r="D73" i="46"/>
  <c r="E73" i="46"/>
  <c r="B74" i="46"/>
  <c r="C74" i="46"/>
  <c r="D74" i="46"/>
  <c r="H78" i="46"/>
  <c r="E74" i="46" s="1"/>
  <c r="A77" i="46"/>
  <c r="C90" i="46"/>
  <c r="A99" i="46"/>
  <c r="A100" i="46"/>
  <c r="A101" i="46"/>
  <c r="G114" i="46"/>
  <c r="A114" i="46" s="1"/>
  <c r="A115" i="46"/>
  <c r="A116" i="46"/>
  <c r="C118" i="46"/>
  <c r="A119" i="46"/>
  <c r="A133" i="46"/>
  <c r="A134" i="46" s="1"/>
  <c r="A135" i="46"/>
  <c r="A139" i="46"/>
  <c r="A136" i="46"/>
  <c r="A138" i="46"/>
  <c r="A137" i="46"/>
  <c r="F135" i="46"/>
  <c r="A151" i="46"/>
  <c r="A154" i="46"/>
  <c r="A155" i="46"/>
  <c r="A166" i="46"/>
  <c r="A167" i="46"/>
  <c r="C168" i="46"/>
  <c r="A181" i="46"/>
  <c r="A184" i="46"/>
  <c r="A182" i="46"/>
  <c r="A186" i="46"/>
  <c r="D185" i="46"/>
  <c r="A187" i="46"/>
  <c r="A200" i="46"/>
  <c r="C201" i="46"/>
  <c r="A201" i="46" s="1"/>
  <c r="A202" i="46"/>
  <c r="C203" i="46"/>
  <c r="A203" i="46" s="1"/>
  <c r="A204" i="46"/>
  <c r="C222" i="46"/>
  <c r="A246" i="46"/>
  <c r="A249" i="46"/>
  <c r="A247" i="46"/>
  <c r="A248" i="46"/>
  <c r="A261" i="46"/>
  <c r="A276" i="46"/>
  <c r="A277" i="46"/>
  <c r="A278" i="46"/>
  <c r="A293" i="46"/>
  <c r="D293" i="46" s="1"/>
  <c r="A294" i="46"/>
  <c r="D294" i="46" s="1"/>
  <c r="A21" i="22"/>
  <c r="A24" i="22"/>
  <c r="A25" i="22"/>
  <c r="A26" i="22"/>
  <c r="A27" i="22"/>
  <c r="A28" i="22"/>
  <c r="A29" i="22"/>
  <c r="E34" i="22"/>
  <c r="A312" i="34"/>
  <c r="A105" i="41"/>
  <c r="E103" i="41" s="1"/>
  <c r="B207" i="33"/>
  <c r="A194" i="42"/>
  <c r="B1170" i="33"/>
  <c r="A29" i="42"/>
  <c r="I240" i="38"/>
  <c r="G1200" i="33"/>
  <c r="G324" i="36"/>
  <c r="I324" i="36" s="1"/>
  <c r="A610" i="37"/>
  <c r="F611" i="37" s="1"/>
  <c r="A190" i="40"/>
  <c r="C313" i="34"/>
  <c r="A866" i="39"/>
  <c r="H474" i="32"/>
  <c r="F692" i="32"/>
  <c r="A305" i="39"/>
  <c r="D692" i="32"/>
  <c r="C177" i="41"/>
  <c r="J120" i="41"/>
  <c r="A196" i="42"/>
  <c r="H299" i="38"/>
  <c r="A195" i="42"/>
  <c r="F729" i="39"/>
  <c r="F76" i="41"/>
  <c r="E13" i="40"/>
  <c r="B1186" i="33"/>
  <c r="B200" i="33"/>
  <c r="C273" i="32"/>
  <c r="C29" i="37"/>
  <c r="A1003" i="39"/>
  <c r="C131" i="42"/>
  <c r="J972" i="32"/>
  <c r="J971" i="32"/>
  <c r="C700" i="39"/>
  <c r="H588" i="32"/>
  <c r="H587" i="32"/>
  <c r="H586" i="32"/>
  <c r="D320" i="41"/>
  <c r="I29" i="42"/>
  <c r="E402" i="39"/>
  <c r="C406" i="39" s="1"/>
  <c r="F667" i="32"/>
  <c r="A41" i="39"/>
  <c r="A38" i="39"/>
  <c r="A402" i="32"/>
  <c r="C404" i="32"/>
  <c r="A193" i="40"/>
  <c r="C1382" i="33"/>
  <c r="B1382" i="33"/>
  <c r="A382" i="36"/>
  <c r="B72" i="33"/>
  <c r="C237" i="46"/>
  <c r="J352" i="38"/>
  <c r="C243" i="32"/>
  <c r="A202" i="32"/>
  <c r="F751" i="37"/>
  <c r="A61" i="41"/>
  <c r="F274" i="40"/>
  <c r="F275" i="40" s="1"/>
  <c r="F276" i="40" s="1"/>
  <c r="C280" i="40" s="1"/>
  <c r="D103" i="41"/>
  <c r="A630" i="37"/>
  <c r="E628" i="37" s="1"/>
  <c r="A629" i="37"/>
  <c r="E627" i="37" s="1"/>
  <c r="A77" i="36"/>
  <c r="A76" i="36"/>
  <c r="A78" i="36" s="1"/>
  <c r="A162" i="38"/>
  <c r="F160" i="38" s="1"/>
  <c r="B617" i="34"/>
  <c r="B443" i="33"/>
  <c r="B452" i="33"/>
  <c r="B380" i="33"/>
  <c r="B573" i="33"/>
  <c r="B181" i="34"/>
  <c r="B919" i="33"/>
  <c r="B572" i="33"/>
  <c r="B1266" i="33"/>
  <c r="B782" i="33"/>
  <c r="B1107" i="33"/>
  <c r="B1751" i="33"/>
  <c r="B479" i="33"/>
  <c r="B256" i="33"/>
  <c r="B248" i="33"/>
  <c r="B63" i="38"/>
  <c r="B150" i="36"/>
  <c r="B1085" i="33"/>
  <c r="B1562" i="33"/>
  <c r="B307" i="33"/>
  <c r="B1664" i="33"/>
  <c r="B1095" i="33"/>
  <c r="B764" i="33"/>
  <c r="B1130" i="33"/>
  <c r="B558" i="33"/>
  <c r="B1794" i="33"/>
  <c r="B507" i="33"/>
  <c r="B1337" i="33"/>
  <c r="B64" i="38"/>
  <c r="B165" i="36"/>
  <c r="B1299" i="33"/>
  <c r="B816" i="33"/>
  <c r="B341" i="32"/>
  <c r="B453" i="33"/>
  <c r="B472" i="33"/>
  <c r="B245" i="33"/>
  <c r="B528" i="33"/>
  <c r="B587" i="33"/>
  <c r="C849" i="33"/>
  <c r="B1750" i="33"/>
  <c r="B1076" i="33"/>
  <c r="B1267" i="33"/>
  <c r="B492" i="33"/>
  <c r="B1790" i="33"/>
  <c r="B383" i="32"/>
  <c r="B505" i="33"/>
  <c r="B1319" i="33"/>
  <c r="B627" i="33"/>
  <c r="B469" i="33"/>
  <c r="B336" i="33"/>
  <c r="B563" i="33"/>
  <c r="B189" i="33"/>
  <c r="B978" i="33"/>
  <c r="B1005" i="33"/>
  <c r="B509" i="33"/>
  <c r="B697" i="33"/>
  <c r="B56" i="33"/>
  <c r="B280" i="33"/>
  <c r="B223" i="46"/>
  <c r="B121" i="33"/>
  <c r="B267" i="33"/>
  <c r="B628" i="33"/>
  <c r="B392" i="32"/>
  <c r="B356" i="32"/>
  <c r="B576" i="32"/>
  <c r="B326" i="32"/>
  <c r="B389" i="33"/>
  <c r="B482" i="33"/>
  <c r="B118" i="33"/>
  <c r="B408" i="39"/>
  <c r="C850" i="33"/>
  <c r="B683" i="32"/>
  <c r="B267" i="40"/>
  <c r="B224" i="46"/>
  <c r="B120" i="33"/>
  <c r="B785" i="33"/>
  <c r="B1406" i="33"/>
  <c r="F638" i="32"/>
  <c r="B574" i="33"/>
  <c r="B373" i="33"/>
  <c r="B765" i="33"/>
  <c r="B391" i="32"/>
  <c r="B1106" i="33"/>
  <c r="B1140" i="33"/>
  <c r="B1495" i="33"/>
  <c r="B164" i="36"/>
  <c r="B325" i="33"/>
  <c r="B381" i="32"/>
  <c r="B1098" i="33"/>
  <c r="B621" i="34"/>
  <c r="B720" i="33"/>
  <c r="B388" i="33"/>
  <c r="C588" i="33"/>
  <c r="B395" i="32"/>
  <c r="B693" i="33"/>
  <c r="B1418" i="33"/>
  <c r="B164" i="33"/>
  <c r="B152" i="36"/>
  <c r="B136" i="33"/>
  <c r="B819" i="33"/>
  <c r="B688" i="33"/>
  <c r="B1342" i="33"/>
  <c r="B1141" i="33"/>
  <c r="B608" i="33"/>
  <c r="B1265" i="33"/>
  <c r="B1421" i="33"/>
  <c r="B1620" i="33"/>
  <c r="B609" i="32"/>
  <c r="F637" i="32"/>
  <c r="B35" i="33"/>
  <c r="B1496" i="33"/>
  <c r="B310" i="33"/>
  <c r="B1374" i="33"/>
  <c r="B829" i="33"/>
  <c r="B832" i="33"/>
  <c r="B95" i="36"/>
  <c r="B1371" i="33"/>
  <c r="B1132" i="33"/>
  <c r="B1816" i="33"/>
  <c r="B280" i="40"/>
  <c r="B696" i="33"/>
  <c r="B394" i="32"/>
  <c r="B945" i="32"/>
  <c r="B283" i="40"/>
  <c r="B353" i="33"/>
  <c r="B714" i="33"/>
  <c r="B416" i="33"/>
  <c r="B1572" i="33"/>
  <c r="B559" i="33"/>
  <c r="B98" i="33"/>
  <c r="B96" i="33"/>
  <c r="B185" i="33"/>
  <c r="B1081" i="33"/>
  <c r="B381" i="33"/>
  <c r="B67" i="33"/>
  <c r="B1665" i="33"/>
  <c r="B91" i="46"/>
  <c r="B151" i="33"/>
  <c r="B229" i="39"/>
  <c r="B398" i="33"/>
  <c r="B1007" i="33"/>
  <c r="B46" i="33"/>
  <c r="B1561" i="33"/>
  <c r="B1419" i="33"/>
  <c r="B33" i="33"/>
  <c r="B694" i="33"/>
  <c r="B1320" i="33"/>
  <c r="B1814" i="33"/>
  <c r="B831" i="33"/>
  <c r="B153" i="33"/>
  <c r="B702" i="33"/>
  <c r="B1321" i="33"/>
  <c r="B425" i="33"/>
  <c r="C799" i="32"/>
  <c r="B866" i="33"/>
  <c r="B1668" i="33"/>
  <c r="B1373" i="33"/>
  <c r="B499" i="33"/>
  <c r="B393" i="33"/>
  <c r="B370" i="32"/>
  <c r="B792" i="33"/>
  <c r="B428" i="33"/>
  <c r="B1039" i="33"/>
  <c r="B1108" i="33"/>
  <c r="B1099" i="33"/>
  <c r="B176" i="33"/>
  <c r="B391" i="33"/>
  <c r="B646" i="33"/>
  <c r="B935" i="33"/>
  <c r="B446" i="33"/>
  <c r="B456" i="33"/>
  <c r="B684" i="32"/>
  <c r="B151" i="36"/>
  <c r="B1038" i="33"/>
  <c r="B314" i="32"/>
  <c r="B1748" i="33"/>
  <c r="B561" i="33"/>
  <c r="B711" i="33"/>
  <c r="B669" i="33"/>
  <c r="B1133" i="33"/>
  <c r="B154" i="36"/>
  <c r="B497" i="33"/>
  <c r="B487" i="33"/>
  <c r="B266" i="33"/>
  <c r="B186" i="33"/>
  <c r="B105" i="33"/>
  <c r="B266" i="40"/>
  <c r="B577" i="32"/>
  <c r="B382" i="33"/>
  <c r="B964" i="33"/>
  <c r="C276" i="32"/>
  <c r="B1296" i="33"/>
  <c r="B375" i="33"/>
  <c r="B1036" i="33"/>
  <c r="B1075" i="33"/>
  <c r="B1138" i="33"/>
  <c r="B183" i="34"/>
  <c r="B686" i="33"/>
  <c r="B222" i="46"/>
  <c r="B445" i="33"/>
  <c r="B537" i="32"/>
  <c r="B339" i="33"/>
  <c r="B257" i="33"/>
  <c r="B899" i="33"/>
  <c r="B1618" i="33"/>
  <c r="B724" i="33"/>
  <c r="B281" i="33"/>
  <c r="B309" i="33"/>
  <c r="B301" i="32"/>
  <c r="B1431" i="33"/>
  <c r="B437" i="33"/>
  <c r="B849" i="33"/>
  <c r="B667" i="33"/>
  <c r="B49" i="33"/>
  <c r="B1035" i="33"/>
  <c r="B865" i="33"/>
  <c r="B1792" i="33"/>
  <c r="B890" i="33"/>
  <c r="B1083" i="33"/>
  <c r="B605" i="33"/>
  <c r="B258" i="33"/>
  <c r="B329" i="32"/>
  <c r="B579" i="32"/>
  <c r="B95" i="33"/>
  <c r="B316" i="32"/>
  <c r="B1573" i="33"/>
  <c r="B1131" i="33"/>
  <c r="C830" i="33"/>
  <c r="B366" i="32"/>
  <c r="B1317" i="33"/>
  <c r="B977" i="33"/>
  <c r="B65" i="33"/>
  <c r="B138" i="33"/>
  <c r="B34" i="33"/>
  <c r="B817" i="33"/>
  <c r="B647" i="33"/>
  <c r="B159" i="33"/>
  <c r="B264" i="40"/>
  <c r="B744" i="33"/>
  <c r="B271" i="33"/>
  <c r="B937" i="33"/>
  <c r="B424" i="33"/>
  <c r="B95" i="46"/>
  <c r="B489" i="33"/>
  <c r="B454" i="33"/>
  <c r="B231" i="39"/>
  <c r="B404" i="32"/>
  <c r="B1037" i="33"/>
  <c r="B382" i="32"/>
  <c r="B500" i="33"/>
  <c r="B644" i="33"/>
  <c r="B896" i="33"/>
  <c r="B491" i="33"/>
  <c r="B444" i="33"/>
  <c r="B1430" i="33"/>
  <c r="B339" i="32"/>
  <c r="B1666" i="33"/>
  <c r="B352" i="32"/>
  <c r="B119" i="33"/>
  <c r="B99" i="33"/>
  <c r="B90" i="46"/>
  <c r="B340" i="32"/>
  <c r="B745" i="33"/>
  <c r="B383" i="33"/>
  <c r="B1486" i="33"/>
  <c r="B1009" i="33"/>
  <c r="B869" i="33"/>
  <c r="B161" i="33"/>
  <c r="B263" i="33"/>
  <c r="B1071" i="33"/>
  <c r="B465" i="38"/>
  <c r="B402" i="33"/>
  <c r="B168" i="36"/>
  <c r="B321" i="33"/>
  <c r="B706" i="33"/>
  <c r="B619" i="34"/>
  <c r="B179" i="33"/>
  <c r="B1749" i="33"/>
  <c r="B1617" i="33"/>
  <c r="B100" i="33"/>
  <c r="C275" i="32"/>
  <c r="B436" i="33"/>
  <c r="B334" i="33"/>
  <c r="B947" i="32"/>
  <c r="B97" i="33"/>
  <c r="B308" i="33"/>
  <c r="B868" i="33"/>
  <c r="B1142" i="33"/>
  <c r="B1488" i="33"/>
  <c r="B847" i="33"/>
  <c r="B584" i="33"/>
  <c r="B580" i="32"/>
  <c r="B320" i="33"/>
  <c r="B760" i="33"/>
  <c r="B575" i="33"/>
  <c r="B1008" i="33"/>
  <c r="B1262" i="33"/>
  <c r="C274" i="32"/>
  <c r="B292" i="33"/>
  <c r="B463" i="38"/>
  <c r="B1513" i="33"/>
  <c r="B390" i="33"/>
  <c r="B1307" i="33"/>
  <c r="B535" i="32"/>
  <c r="B304" i="32"/>
  <c r="B918" i="33"/>
  <c r="C278" i="32"/>
  <c r="B248" i="32"/>
  <c r="B685" i="32"/>
  <c r="B915" i="33"/>
  <c r="B318" i="33"/>
  <c r="B979" i="33"/>
  <c r="B370" i="33"/>
  <c r="B368" i="32"/>
  <c r="B1318" i="33"/>
  <c r="B1485" i="33"/>
  <c r="B410" i="33"/>
  <c r="B960" i="33"/>
  <c r="B93" i="36"/>
  <c r="B946" i="32"/>
  <c r="B65" i="40"/>
  <c r="B536" i="32"/>
  <c r="B625" i="33"/>
  <c r="B356" i="33"/>
  <c r="D295" i="46"/>
  <c r="B16" i="33"/>
  <c r="B530" i="33"/>
  <c r="B698" i="33"/>
  <c r="B1080" i="33"/>
  <c r="B1512" i="33"/>
  <c r="B348" i="33"/>
  <c r="B12" i="33"/>
  <c r="B604" i="33"/>
  <c r="B562" i="33"/>
  <c r="B392" i="33"/>
  <c r="B317" i="32"/>
  <c r="B94" i="36"/>
  <c r="C833" i="33"/>
  <c r="B681" i="32"/>
  <c r="B465" i="33"/>
  <c r="B649" i="33"/>
  <c r="B1407" i="33"/>
  <c r="B135" i="33"/>
  <c r="C576" i="33"/>
  <c r="B379" i="32"/>
  <c r="B1082" i="33"/>
  <c r="B177" i="33"/>
  <c r="B870" i="33"/>
  <c r="B506" i="33"/>
  <c r="B300" i="32"/>
  <c r="B743" i="33"/>
  <c r="B327" i="33"/>
  <c r="B713" i="33"/>
  <c r="B342" i="32"/>
  <c r="B508" i="33"/>
  <c r="B379" i="33"/>
  <c r="B226" i="46"/>
  <c r="B887" i="33"/>
  <c r="B703" i="33"/>
  <c r="B695" i="33"/>
  <c r="B188" i="33"/>
  <c r="B936" i="33"/>
  <c r="B285" i="33"/>
  <c r="B820" i="33"/>
  <c r="B1100" i="33"/>
  <c r="B451" i="33"/>
  <c r="B790" i="33"/>
  <c r="B438" i="33"/>
  <c r="B152" i="33"/>
  <c r="B1040" i="33"/>
  <c r="B897" i="33"/>
  <c r="B435" i="33"/>
  <c r="F641" i="32"/>
  <c r="B97" i="36"/>
  <c r="C846" i="33"/>
  <c r="B704" i="33"/>
  <c r="B571" i="33"/>
  <c r="B468" i="38"/>
  <c r="B284" i="33"/>
  <c r="B1006" i="33"/>
  <c r="F502" i="32"/>
  <c r="B294" i="33"/>
  <c r="F504" i="32"/>
  <c r="B950" i="32"/>
  <c r="B606" i="32"/>
  <c r="B408" i="32"/>
  <c r="B974" i="33"/>
  <c r="B529" i="34"/>
  <c r="B329" i="33"/>
  <c r="B648" i="33"/>
  <c r="B255" i="33"/>
  <c r="D59" i="40"/>
  <c r="B286" i="34"/>
  <c r="B312" i="33"/>
  <c r="B317" i="33"/>
  <c r="B13" i="33"/>
  <c r="B1753" i="33"/>
  <c r="B961" i="33"/>
  <c r="B818" i="33"/>
  <c r="B525" i="33"/>
  <c r="B275" i="32"/>
  <c r="B367" i="32"/>
  <c r="B682" i="32"/>
  <c r="B834" i="33"/>
  <c r="B289" i="33"/>
  <c r="B783" i="33"/>
  <c r="B330" i="32"/>
  <c r="B1306" i="33"/>
  <c r="B409" i="33"/>
  <c r="F639" i="32"/>
  <c r="B725" i="33"/>
  <c r="B326" i="33"/>
  <c r="B1137" i="33"/>
  <c r="B959" i="33"/>
  <c r="B665" i="33"/>
  <c r="B1619" i="33"/>
  <c r="B1621" i="33"/>
  <c r="B471" i="33"/>
  <c r="B291" i="33"/>
  <c r="B466" i="38"/>
  <c r="C848" i="33"/>
  <c r="B949" i="32"/>
  <c r="B684" i="33"/>
  <c r="B815" i="33"/>
  <c r="B939" i="33"/>
  <c r="B488" i="33"/>
  <c r="B123" i="33"/>
  <c r="B1295" i="33"/>
  <c r="B411" i="33"/>
  <c r="B355" i="33"/>
  <c r="F506" i="32"/>
  <c r="B794" i="33"/>
  <c r="B318" i="32"/>
  <c r="B705" i="33"/>
  <c r="B791" i="33"/>
  <c r="B464" i="33"/>
  <c r="B1793" i="33"/>
  <c r="B533" i="32"/>
  <c r="B66" i="33"/>
  <c r="B247" i="33"/>
  <c r="B578" i="32"/>
  <c r="B889" i="33"/>
  <c r="C574" i="33"/>
  <c r="B331" i="32"/>
  <c r="B181" i="33"/>
  <c r="C587" i="33"/>
  <c r="B1339" i="33"/>
  <c r="B396" i="32"/>
  <c r="B917" i="33"/>
  <c r="B845" i="33"/>
  <c r="B474" i="33"/>
  <c r="B315" i="32"/>
  <c r="B467" i="38"/>
  <c r="B407" i="33"/>
  <c r="B846" i="33"/>
  <c r="B150" i="33"/>
  <c r="B328" i="33"/>
  <c r="B393" i="32"/>
  <c r="C834" i="33"/>
  <c r="B272" i="33"/>
  <c r="B407" i="32"/>
  <c r="B1338" i="33"/>
  <c r="C847" i="33"/>
  <c r="B246" i="33"/>
  <c r="B1817" i="33"/>
  <c r="B401" i="33"/>
  <c r="B668" i="33"/>
  <c r="B362" i="33"/>
  <c r="B1072" i="33"/>
  <c r="B1818" i="33"/>
  <c r="B276" i="33"/>
  <c r="B447" i="33"/>
  <c r="B793" i="33"/>
  <c r="B160" i="33"/>
  <c r="B689" i="33"/>
  <c r="B134" i="33"/>
  <c r="B833" i="33"/>
  <c r="B96" i="36"/>
  <c r="B427" i="33"/>
  <c r="C585" i="33"/>
  <c r="F636" i="32"/>
  <c r="B168" i="33"/>
  <c r="B609" i="33"/>
  <c r="B780" i="33"/>
  <c r="B290" i="33"/>
  <c r="B313" i="32"/>
  <c r="B510" i="33"/>
  <c r="B285" i="40"/>
  <c r="B278" i="32"/>
  <c r="B237" i="46"/>
  <c r="B1791" i="33"/>
  <c r="B163" i="33"/>
  <c r="B335" i="33"/>
  <c r="B886" i="33"/>
  <c r="B106" i="33"/>
  <c r="C277" i="32"/>
  <c r="B62" i="40"/>
  <c r="B975" i="33"/>
  <c r="B264" i="33"/>
  <c r="B276" i="32"/>
  <c r="B620" i="34"/>
  <c r="B589" i="33"/>
  <c r="B1129" i="33"/>
  <c r="B92" i="46"/>
  <c r="B894" i="33"/>
  <c r="B1084" i="33"/>
  <c r="B50" i="33"/>
  <c r="B283" i="33"/>
  <c r="B742" i="33"/>
  <c r="B722" i="33"/>
  <c r="B300" i="33"/>
  <c r="B1560" i="33"/>
  <c r="B273" i="33"/>
  <c r="B607" i="33"/>
  <c r="B254" i="33"/>
  <c r="B606" i="33"/>
  <c r="B378" i="32"/>
  <c r="B605" i="32"/>
  <c r="B433" i="33"/>
  <c r="B316" i="33"/>
  <c r="B888" i="33"/>
  <c r="B361" i="33"/>
  <c r="B374" i="33"/>
  <c r="B789" i="33"/>
  <c r="B182" i="34"/>
  <c r="B187" i="33"/>
  <c r="B1246" i="33"/>
  <c r="B57" i="33"/>
  <c r="B473" i="33"/>
  <c r="B716" i="33"/>
  <c r="B410" i="39"/>
  <c r="B344" i="32"/>
  <c r="B608" i="32"/>
  <c r="B246" i="32"/>
  <c r="B1096" i="33"/>
  <c r="B225" i="46"/>
  <c r="B15" i="33"/>
  <c r="B153" i="36"/>
  <c r="B406" i="33"/>
  <c r="B274" i="33"/>
  <c r="B429" i="33"/>
  <c r="F503" i="32"/>
  <c r="F640" i="32"/>
  <c r="B723" i="33"/>
  <c r="F501" i="32"/>
  <c r="C575" i="33"/>
  <c r="B301" i="33"/>
  <c r="B232" i="39"/>
  <c r="B1487" i="33"/>
  <c r="B399" i="33"/>
  <c r="B139" i="33"/>
  <c r="B277" i="32"/>
  <c r="B784" i="33"/>
  <c r="B418" i="33"/>
  <c r="B763" i="33"/>
  <c r="B1420" i="33"/>
  <c r="B230" i="39"/>
  <c r="B963" i="33"/>
  <c r="B530" i="34"/>
  <c r="B581" i="32"/>
  <c r="F505" i="32"/>
  <c r="B31" i="33"/>
  <c r="B426" i="33"/>
  <c r="B364" i="33"/>
  <c r="B741" i="33"/>
  <c r="B1073" i="33"/>
  <c r="B275" i="33"/>
  <c r="B1819" i="33"/>
  <c r="C586" i="33"/>
  <c r="B531" i="34"/>
  <c r="B1247" i="33"/>
  <c r="B898" i="33"/>
  <c r="B496" i="33"/>
  <c r="B460" i="33"/>
  <c r="B48" i="33"/>
  <c r="B464" i="38"/>
  <c r="B1795" i="33"/>
  <c r="B51" i="33"/>
  <c r="B302" i="32"/>
  <c r="B848" i="33"/>
  <c r="C589" i="33"/>
  <c r="B253" i="33"/>
  <c r="B167" i="36"/>
  <c r="B1097" i="33"/>
  <c r="B976" i="33"/>
  <c r="B268" i="40"/>
  <c r="B14" i="33"/>
  <c r="B179" i="34"/>
  <c r="B384" i="33"/>
  <c r="B528" i="34"/>
  <c r="B293" i="33"/>
  <c r="B247" i="32"/>
  <c r="B262" i="33"/>
  <c r="B712" i="33"/>
  <c r="B1341" i="33"/>
  <c r="B1263" i="33"/>
  <c r="B761" i="33"/>
  <c r="B483" i="33"/>
  <c r="B354" i="33"/>
  <c r="B346" i="33"/>
  <c r="B343" i="32"/>
  <c r="B616" i="34"/>
  <c r="B687" i="33"/>
  <c r="B303" i="32"/>
  <c r="B227" i="46"/>
  <c r="B337" i="33"/>
  <c r="B934" i="33"/>
  <c r="B532" i="34"/>
  <c r="B353" i="32"/>
  <c r="B624" i="33"/>
  <c r="B137" i="33"/>
  <c r="B94" i="46"/>
  <c r="C572" i="33"/>
  <c r="B405" i="32"/>
  <c r="B481" i="33"/>
  <c r="B180" i="33"/>
  <c r="B305" i="32"/>
  <c r="B227" i="39"/>
  <c r="B1422" i="33"/>
  <c r="B369" i="32"/>
  <c r="C573" i="33"/>
  <c r="B480" i="33"/>
  <c r="B914" i="33"/>
  <c r="B1340" i="33"/>
  <c r="B355" i="32"/>
  <c r="B409" i="32"/>
  <c r="B265" i="40"/>
  <c r="B285" i="34"/>
  <c r="B533" i="34"/>
  <c r="B344" i="33"/>
  <c r="B338" i="33"/>
  <c r="B263" i="40"/>
  <c r="B397" i="33"/>
  <c r="B155" i="33"/>
  <c r="B1128" i="33"/>
  <c r="B409" i="39"/>
  <c r="B282" i="40"/>
  <c r="B299" i="33"/>
  <c r="B740" i="33"/>
  <c r="B347" i="33"/>
  <c r="B685" i="33"/>
  <c r="B1370" i="33"/>
  <c r="B228" i="39"/>
  <c r="B434" i="33"/>
  <c r="B490" i="33"/>
  <c r="B311" i="33"/>
  <c r="B169" i="33"/>
  <c r="B282" i="34"/>
  <c r="C832" i="33"/>
  <c r="B501" i="33"/>
  <c r="B781" i="33"/>
  <c r="B962" i="33"/>
  <c r="B122" i="33"/>
  <c r="B916" i="33"/>
  <c r="B1565" i="33"/>
  <c r="B328" i="32"/>
  <c r="B498" i="33"/>
  <c r="B463" i="33"/>
  <c r="B245" i="32"/>
  <c r="B273" i="32"/>
  <c r="B166" i="36"/>
  <c r="B30" i="33"/>
  <c r="B363" i="33"/>
  <c r="B67" i="40"/>
  <c r="B721" i="33"/>
  <c r="B895" i="33"/>
  <c r="B407" i="39"/>
  <c r="B282" i="33"/>
  <c r="B365" i="32"/>
  <c r="B244" i="33"/>
  <c r="B588" i="33"/>
  <c r="B664" i="33"/>
  <c r="B1369" i="33"/>
  <c r="B666" i="33"/>
  <c r="B180" i="34"/>
  <c r="B371" i="33"/>
  <c r="B1423" i="33"/>
  <c r="B1669" i="33"/>
  <c r="B1372" i="33"/>
  <c r="B850" i="33"/>
  <c r="B470" i="33"/>
  <c r="B298" i="33"/>
  <c r="B420" i="33"/>
  <c r="B11" i="33"/>
  <c r="B1298" i="33"/>
  <c r="B576" i="33"/>
  <c r="B184" i="34"/>
  <c r="B442" i="33"/>
  <c r="B1105" i="33"/>
  <c r="B618" i="34"/>
  <c r="B178" i="33"/>
  <c r="B1264" i="33"/>
  <c r="B1109" i="33"/>
  <c r="B1297" i="33"/>
  <c r="B1322" i="33"/>
  <c r="B534" i="32"/>
  <c r="B529" i="33"/>
  <c r="B415" i="33"/>
  <c r="B163" i="36"/>
  <c r="B32" i="33"/>
  <c r="B1004" i="33"/>
  <c r="B1074" i="33"/>
  <c r="B626" i="33"/>
  <c r="B560" i="33"/>
  <c r="B686" i="32"/>
  <c r="B1616" i="33"/>
  <c r="B938" i="33"/>
  <c r="B1564" i="33"/>
  <c r="B63" i="40"/>
  <c r="B249" i="33"/>
  <c r="B319" i="33"/>
  <c r="B154" i="33"/>
  <c r="B411" i="39"/>
  <c r="B190" i="33"/>
  <c r="B162" i="33"/>
  <c r="B303" i="33"/>
  <c r="B1667" i="33"/>
  <c r="B62" i="33"/>
  <c r="B63" i="33"/>
  <c r="B64" i="40"/>
  <c r="B526" i="33"/>
  <c r="B417" i="33"/>
  <c r="B302" i="33"/>
  <c r="B1563" i="33"/>
  <c r="B478" i="33"/>
  <c r="B532" i="32"/>
  <c r="B92" i="36"/>
  <c r="B1104" i="33"/>
  <c r="B715" i="33"/>
  <c r="B274" i="32"/>
  <c r="B1484" i="33"/>
  <c r="B406" i="32"/>
  <c r="B380" i="32"/>
  <c r="B406" i="39"/>
  <c r="B357" i="33"/>
  <c r="B461" i="33"/>
  <c r="B265" i="33"/>
  <c r="B47" i="33"/>
  <c r="B1294" i="33"/>
  <c r="B330" i="33"/>
  <c r="B238" i="46"/>
  <c r="B867" i="33"/>
  <c r="B283" i="34"/>
  <c r="B281" i="34"/>
  <c r="B284" i="40"/>
  <c r="B629" i="33"/>
  <c r="B345" i="33"/>
  <c r="B610" i="32"/>
  <c r="B149" i="36"/>
  <c r="B586" i="33"/>
  <c r="B64" i="33"/>
  <c r="B352" i="33"/>
  <c r="B462" i="33"/>
  <c r="B66" i="40"/>
  <c r="B1752" i="33"/>
  <c r="B365" i="33"/>
  <c r="B830" i="33"/>
  <c r="B372" i="33"/>
  <c r="B400" i="33"/>
  <c r="B455" i="33"/>
  <c r="B357" i="32"/>
  <c r="B284" i="34"/>
  <c r="B948" i="32"/>
  <c r="B527" i="33"/>
  <c r="B645" i="33"/>
  <c r="B1483" i="33"/>
  <c r="B327" i="32"/>
  <c r="B281" i="40"/>
  <c r="B885" i="33"/>
  <c r="B354" i="32"/>
  <c r="B1139" i="33"/>
  <c r="B762" i="33"/>
  <c r="B707" i="33"/>
  <c r="C831" i="33"/>
  <c r="B244" i="32"/>
  <c r="B366" i="33"/>
  <c r="B585" i="33"/>
  <c r="B93" i="46"/>
  <c r="B419" i="33"/>
  <c r="B343" i="33"/>
  <c r="B1815" i="33"/>
  <c r="B408" i="33"/>
  <c r="B607" i="32"/>
  <c r="B243" i="32"/>
  <c r="N416" i="32" l="1"/>
  <c r="A852" i="39"/>
  <c r="G851" i="39" s="1"/>
  <c r="G1049" i="33"/>
  <c r="B222" i="33"/>
  <c r="B224" i="33"/>
  <c r="K459" i="32"/>
  <c r="E179" i="37"/>
  <c r="E1044" i="39"/>
  <c r="A96" i="42"/>
  <c r="E178" i="37"/>
  <c r="F453" i="36"/>
  <c r="A704" i="37"/>
  <c r="H528" i="37"/>
  <c r="A159" i="36"/>
  <c r="A355" i="38"/>
  <c r="D157" i="42"/>
  <c r="D276" i="38"/>
  <c r="D97" i="37"/>
  <c r="C244" i="39"/>
  <c r="E158" i="36"/>
  <c r="A1767" i="33"/>
  <c r="F240" i="38"/>
  <c r="A218" i="42"/>
  <c r="A285" i="32"/>
  <c r="A283" i="32" s="1"/>
  <c r="C287" i="32" s="1"/>
  <c r="H302" i="38"/>
  <c r="C159" i="34"/>
  <c r="A33" i="42"/>
  <c r="D683" i="39"/>
  <c r="H1050" i="33"/>
  <c r="C161" i="34"/>
  <c r="D275" i="38"/>
  <c r="D577" i="34"/>
  <c r="C61" i="39"/>
  <c r="C160" i="34"/>
  <c r="H240" i="38"/>
  <c r="C1802" i="33"/>
  <c r="H275" i="38"/>
  <c r="A178" i="37"/>
  <c r="A265" i="46"/>
  <c r="C261" i="46"/>
  <c r="D557" i="32"/>
  <c r="F816" i="39"/>
  <c r="D388" i="39"/>
  <c r="E388" i="39" s="1"/>
  <c r="E364" i="39"/>
  <c r="H353" i="41"/>
  <c r="A816" i="37"/>
  <c r="A819" i="37" s="1"/>
  <c r="E883" i="32"/>
  <c r="E884" i="32" s="1"/>
  <c r="E199" i="32"/>
  <c r="A61" i="32"/>
  <c r="D61" i="32" s="1"/>
  <c r="F478" i="36"/>
  <c r="D558" i="32"/>
  <c r="A104" i="32"/>
  <c r="A699" i="39"/>
  <c r="A698" i="39" s="1"/>
  <c r="A13" i="40"/>
  <c r="E354" i="36"/>
  <c r="C358" i="36" s="1"/>
  <c r="C332" i="39"/>
  <c r="A831" i="39"/>
  <c r="A279" i="39"/>
  <c r="E277" i="39" s="1"/>
  <c r="E278" i="39" s="1"/>
  <c r="E279" i="39" s="1"/>
  <c r="E955" i="32"/>
  <c r="D144" i="32"/>
  <c r="K149" i="32" s="1"/>
  <c r="D401" i="34"/>
  <c r="A42" i="36"/>
  <c r="F641" i="37"/>
  <c r="D83" i="37"/>
  <c r="A1171" i="33"/>
  <c r="D44" i="32"/>
  <c r="E420" i="38"/>
  <c r="E371" i="38"/>
  <c r="C14" i="39"/>
  <c r="C13" i="39" s="1"/>
  <c r="H528" i="32"/>
  <c r="H529" i="32"/>
  <c r="F42" i="39"/>
  <c r="D18" i="39"/>
  <c r="A220" i="41"/>
  <c r="E266" i="36"/>
  <c r="A269" i="36" s="1"/>
  <c r="O222" i="37"/>
  <c r="L300" i="38"/>
  <c r="D733" i="34"/>
  <c r="A343" i="34"/>
  <c r="A344" i="34" s="1"/>
  <c r="A35" i="42"/>
  <c r="G967" i="39"/>
  <c r="I966" i="39" s="1"/>
  <c r="F417" i="41"/>
  <c r="E53" i="38"/>
  <c r="P275" i="38"/>
  <c r="H14" i="32"/>
  <c r="F370" i="38"/>
  <c r="K371" i="38" s="1"/>
  <c r="K372" i="38" s="1"/>
  <c r="E48" i="46"/>
  <c r="B945" i="33"/>
  <c r="C950" i="33" s="1"/>
  <c r="A851" i="39"/>
  <c r="G850" i="39" s="1"/>
  <c r="C943" i="39"/>
  <c r="E54" i="38"/>
  <c r="D273" i="40"/>
  <c r="L275" i="38"/>
  <c r="A74" i="34"/>
  <c r="H371" i="38"/>
  <c r="N515" i="32"/>
  <c r="J512" i="32"/>
  <c r="Q511" i="32" s="1"/>
  <c r="N415" i="32"/>
  <c r="D496" i="32"/>
  <c r="D497" i="32" s="1"/>
  <c r="D498" i="32" s="1"/>
  <c r="C501" i="32" s="1"/>
  <c r="E602" i="34"/>
  <c r="C605" i="34" s="1"/>
  <c r="A76" i="34"/>
  <c r="E71" i="34" s="1"/>
  <c r="D249" i="41"/>
  <c r="C252" i="41" s="1"/>
  <c r="E159" i="36"/>
  <c r="F160" i="36" s="1"/>
  <c r="F55" i="36"/>
  <c r="I55" i="36" s="1"/>
  <c r="B220" i="33"/>
  <c r="K460" i="32"/>
  <c r="G370" i="38"/>
  <c r="A363" i="39"/>
  <c r="D346" i="40"/>
  <c r="D277" i="37"/>
  <c r="B101" i="37"/>
  <c r="N514" i="32"/>
  <c r="J415" i="32"/>
  <c r="C260" i="40"/>
  <c r="A124" i="40"/>
  <c r="E124" i="40" s="1"/>
  <c r="D173" i="40"/>
  <c r="A173" i="40" s="1"/>
  <c r="G181" i="40"/>
  <c r="H15" i="32"/>
  <c r="F181" i="37"/>
  <c r="D342" i="40"/>
  <c r="B221" i="33"/>
  <c r="F150" i="41"/>
  <c r="C39" i="39"/>
  <c r="D278" i="37"/>
  <c r="A278" i="37" s="1"/>
  <c r="F278" i="37" s="1"/>
  <c r="B223" i="33"/>
  <c r="A226" i="40"/>
  <c r="B225" i="33"/>
  <c r="E857" i="32"/>
  <c r="A168" i="46"/>
  <c r="B804" i="33"/>
  <c r="G745" i="39"/>
  <c r="C749" i="39" s="1"/>
  <c r="A653" i="39"/>
  <c r="A826" i="32"/>
  <c r="I764" i="32"/>
  <c r="G771" i="32" s="1"/>
  <c r="A44" i="40"/>
  <c r="A45" i="40" s="1"/>
  <c r="A46" i="40" s="1"/>
  <c r="C48" i="40" s="1"/>
  <c r="D45" i="32"/>
  <c r="D550" i="34"/>
  <c r="C554" i="34" s="1"/>
  <c r="G429" i="34"/>
  <c r="A157" i="34"/>
  <c r="C163" i="34" s="1"/>
  <c r="F327" i="40"/>
  <c r="A93" i="40"/>
  <c r="A95" i="40" s="1"/>
  <c r="C97" i="40" s="1"/>
  <c r="F465" i="36"/>
  <c r="C468" i="36" s="1"/>
  <c r="F426" i="36"/>
  <c r="F427" i="36" s="1"/>
  <c r="C430" i="36" s="1"/>
  <c r="E342" i="36"/>
  <c r="A283" i="36"/>
  <c r="A287" i="36" s="1"/>
  <c r="E282" i="36" s="1"/>
  <c r="A190" i="36"/>
  <c r="A188" i="36" s="1"/>
  <c r="C192" i="36" s="1"/>
  <c r="A733" i="37"/>
  <c r="F701" i="37"/>
  <c r="G577" i="37"/>
  <c r="E344" i="37"/>
  <c r="D55" i="37"/>
  <c r="C59" i="37" s="1"/>
  <c r="D475" i="38"/>
  <c r="E258" i="38"/>
  <c r="A175" i="38"/>
  <c r="C1544" i="33"/>
  <c r="E880" i="39"/>
  <c r="F814" i="39"/>
  <c r="E787" i="39"/>
  <c r="E786" i="39" s="1"/>
  <c r="C791" i="39" s="1"/>
  <c r="A597" i="39"/>
  <c r="E717" i="34"/>
  <c r="D455" i="34"/>
  <c r="F55" i="34"/>
  <c r="F25" i="34"/>
  <c r="C30" i="34" s="1"/>
  <c r="D262" i="41"/>
  <c r="A122" i="41"/>
  <c r="A313" i="40"/>
  <c r="A250" i="36"/>
  <c r="E248" i="36" s="1"/>
  <c r="E173" i="36"/>
  <c r="C178" i="36" s="1"/>
  <c r="E885" i="32"/>
  <c r="A441" i="36"/>
  <c r="G326" i="36"/>
  <c r="I326" i="36" s="1"/>
  <c r="A320" i="41"/>
  <c r="A28" i="41"/>
  <c r="D27" i="41" s="1"/>
  <c r="D601" i="32"/>
  <c r="A322" i="41"/>
  <c r="A82" i="39"/>
  <c r="C81" i="39" s="1"/>
  <c r="D600" i="32"/>
  <c r="A255" i="40"/>
  <c r="D307" i="34"/>
  <c r="D693" i="32"/>
  <c r="C696" i="32" s="1"/>
  <c r="D496" i="34"/>
  <c r="A500" i="34" s="1"/>
  <c r="D497" i="34" s="1"/>
  <c r="D498" i="34" s="1"/>
  <c r="C502" i="34" s="1"/>
  <c r="A250" i="39"/>
  <c r="A251" i="39" s="1"/>
  <c r="F56" i="41"/>
  <c r="F60" i="41"/>
  <c r="A1053" i="33"/>
  <c r="D321" i="41"/>
  <c r="C698" i="39"/>
  <c r="D209" i="40"/>
  <c r="A209" i="40" s="1"/>
  <c r="H473" i="32"/>
  <c r="D618" i="32"/>
  <c r="G220" i="41"/>
  <c r="A494" i="39"/>
  <c r="G494" i="39" s="1"/>
  <c r="E817" i="37"/>
  <c r="A259" i="34"/>
  <c r="A43" i="40"/>
  <c r="E334" i="38"/>
  <c r="E335" i="38" s="1"/>
  <c r="F430" i="32"/>
  <c r="A122" i="42"/>
  <c r="B131" i="42" s="1"/>
  <c r="G328" i="34"/>
  <c r="E107" i="40"/>
  <c r="A76" i="40"/>
  <c r="C82" i="40" s="1"/>
  <c r="H301" i="38"/>
  <c r="D354" i="38"/>
  <c r="J353" i="38" s="1"/>
  <c r="A118" i="39"/>
  <c r="A124" i="39" s="1"/>
  <c r="E121" i="39" s="1"/>
  <c r="A252" i="39"/>
  <c r="H276" i="38"/>
  <c r="E37" i="38"/>
  <c r="C40" i="38" s="1"/>
  <c r="A21" i="39"/>
  <c r="E211" i="39"/>
  <c r="C214" i="39" s="1"/>
  <c r="C949" i="39"/>
  <c r="C947" i="39" s="1"/>
  <c r="E1380" i="33"/>
  <c r="A177" i="38"/>
  <c r="A238" i="42"/>
  <c r="B1380" i="33"/>
  <c r="D299" i="38"/>
  <c r="D302" i="38" s="1"/>
  <c r="D303" i="38" s="1"/>
  <c r="A243" i="42"/>
  <c r="A244" i="42" s="1"/>
  <c r="A80" i="42"/>
  <c r="C85" i="42" s="1"/>
  <c r="A16" i="42"/>
  <c r="F717" i="37"/>
  <c r="A193" i="37"/>
  <c r="F193" i="37" s="1"/>
  <c r="L298" i="38"/>
  <c r="A124" i="42"/>
  <c r="D130" i="42" s="1"/>
  <c r="A239" i="42"/>
  <c r="E275" i="41"/>
  <c r="K278" i="41" s="1"/>
  <c r="A801" i="37"/>
  <c r="E803" i="37" s="1"/>
  <c r="A209" i="38"/>
  <c r="A210" i="38" s="1"/>
  <c r="C83" i="33"/>
  <c r="A54" i="42"/>
  <c r="A55" i="42" s="1"/>
  <c r="C239" i="39"/>
  <c r="C237" i="39" s="1"/>
  <c r="G381" i="41"/>
  <c r="G382" i="41" s="1"/>
  <c r="C385" i="41" s="1"/>
  <c r="E28" i="37"/>
  <c r="F28" i="37" s="1"/>
  <c r="A56" i="42"/>
  <c r="A275" i="40"/>
  <c r="C276" i="40" s="1"/>
  <c r="A276" i="40" s="1"/>
  <c r="A240" i="42"/>
  <c r="B1014" i="33"/>
  <c r="D513" i="32"/>
  <c r="G518" i="32" s="1"/>
  <c r="A271" i="32"/>
  <c r="D109" i="34"/>
  <c r="A29" i="40"/>
  <c r="C31" i="40" s="1"/>
  <c r="A370" i="36"/>
  <c r="E367" i="36" s="1"/>
  <c r="F593" i="37"/>
  <c r="E528" i="37"/>
  <c r="A428" i="37"/>
  <c r="E430" i="37" s="1"/>
  <c r="C433" i="37" s="1"/>
  <c r="E222" i="37"/>
  <c r="E163" i="37"/>
  <c r="E161" i="37" s="1"/>
  <c r="F98" i="37"/>
  <c r="G98" i="37" s="1"/>
  <c r="E317" i="38"/>
  <c r="D315" i="40"/>
  <c r="B1017" i="33"/>
  <c r="A102" i="46"/>
  <c r="D99" i="46" s="1"/>
  <c r="E101" i="46" s="1"/>
  <c r="G673" i="37"/>
  <c r="D396" i="34"/>
  <c r="A12" i="36"/>
  <c r="F655" i="37"/>
  <c r="A240" i="37"/>
  <c r="P276" i="38"/>
  <c r="C262" i="34"/>
  <c r="D310" i="40"/>
  <c r="A32" i="32"/>
  <c r="E29" i="32" s="1"/>
  <c r="D544" i="32"/>
  <c r="A631" i="32"/>
  <c r="A633" i="32" s="1"/>
  <c r="D630" i="32" s="1"/>
  <c r="C636" i="32" s="1"/>
  <c r="A329" i="34"/>
  <c r="A181" i="42"/>
  <c r="A436" i="38"/>
  <c r="A438" i="38" s="1"/>
  <c r="E435" i="38" s="1"/>
  <c r="C440" i="38" s="1"/>
  <c r="H143" i="37"/>
  <c r="F193" i="39"/>
  <c r="A196" i="39" s="1"/>
  <c r="D193" i="39" s="1"/>
  <c r="T278" i="38"/>
  <c r="L123" i="42"/>
  <c r="G496" i="32"/>
  <c r="G497" i="32"/>
  <c r="H76" i="32"/>
  <c r="G257" i="38"/>
  <c r="A95" i="42"/>
  <c r="E24" i="38"/>
  <c r="E25" i="38" s="1"/>
  <c r="C28" i="38" s="1"/>
  <c r="A223" i="42"/>
  <c r="E362" i="37"/>
  <c r="D430" i="32"/>
  <c r="D431" i="32" s="1"/>
  <c r="N417" i="39"/>
  <c r="N416" i="39" s="1"/>
  <c r="E45" i="38"/>
  <c r="C48" i="38" s="1"/>
  <c r="C62" i="39"/>
  <c r="F257" i="38"/>
  <c r="I257" i="38"/>
  <c r="A382" i="39"/>
  <c r="C382" i="39" s="1"/>
  <c r="E303" i="39"/>
  <c r="A225" i="39"/>
  <c r="E925" i="32"/>
  <c r="C930" i="32" s="1"/>
  <c r="A840" i="32"/>
  <c r="D750" i="32"/>
  <c r="C755" i="32" s="1"/>
  <c r="A603" i="32"/>
  <c r="D603" i="32" s="1"/>
  <c r="D528" i="32"/>
  <c r="D361" i="32"/>
  <c r="D335" i="32"/>
  <c r="D336" i="32" s="1"/>
  <c r="D296" i="32"/>
  <c r="D239" i="32"/>
  <c r="D213" i="32"/>
  <c r="C217" i="32" s="1"/>
  <c r="A185" i="32"/>
  <c r="D115" i="32"/>
  <c r="D116" i="32" s="1"/>
  <c r="C120" i="32" s="1"/>
  <c r="D75" i="32"/>
  <c r="D76" i="32" s="1"/>
  <c r="G75" i="32" s="1"/>
  <c r="A30" i="32"/>
  <c r="E677" i="34"/>
  <c r="C681" i="34" s="1"/>
  <c r="D481" i="34"/>
  <c r="D277" i="34"/>
  <c r="D278" i="34" s="1"/>
  <c r="A451" i="39"/>
  <c r="A452" i="39" s="1"/>
  <c r="A453" i="39" s="1"/>
  <c r="F817" i="39"/>
  <c r="F818" i="39" s="1"/>
  <c r="C820" i="39" s="1"/>
  <c r="E28" i="32"/>
  <c r="F431" i="32"/>
  <c r="D542" i="32"/>
  <c r="A153" i="46"/>
  <c r="E155" i="46" s="1"/>
  <c r="E151" i="46" s="1"/>
  <c r="H73" i="46"/>
  <c r="C1119" i="33"/>
  <c r="G865" i="39"/>
  <c r="A303" i="41"/>
  <c r="J514" i="37"/>
  <c r="F381" i="37"/>
  <c r="A1170" i="33"/>
  <c r="C1173" i="33" s="1"/>
  <c r="A202" i="36"/>
  <c r="E201" i="36" s="1"/>
  <c r="C206" i="36" s="1"/>
  <c r="A561" i="37"/>
  <c r="D559" i="37" s="1"/>
  <c r="C566" i="37" s="1"/>
  <c r="G541" i="37"/>
  <c r="A455" i="37"/>
  <c r="E326" i="37"/>
  <c r="F241" i="37"/>
  <c r="E332" i="38"/>
  <c r="E333" i="38" s="1"/>
  <c r="E339" i="38" s="1"/>
  <c r="G342" i="38" s="1"/>
  <c r="C1769" i="33"/>
  <c r="A1769" i="33" s="1"/>
  <c r="E1767" i="33" s="1"/>
  <c r="C57" i="38"/>
  <c r="D44" i="39"/>
  <c r="T276" i="38"/>
  <c r="A50" i="42"/>
  <c r="E665" i="34"/>
  <c r="E664" i="34" s="1"/>
  <c r="C668" i="34" s="1"/>
  <c r="F590" i="34"/>
  <c r="D590" i="34" s="1"/>
  <c r="E397" i="41"/>
  <c r="E217" i="34"/>
  <c r="E218" i="34" s="1"/>
  <c r="E219" i="34" s="1"/>
  <c r="E302" i="36"/>
  <c r="H144" i="37"/>
  <c r="A83" i="38"/>
  <c r="B90" i="38" s="1"/>
  <c r="A123" i="41"/>
  <c r="F125" i="41" s="1"/>
  <c r="E369" i="36"/>
  <c r="E368" i="36"/>
  <c r="E102" i="46"/>
  <c r="G593" i="37"/>
  <c r="I28" i="42"/>
  <c r="D63" i="32"/>
  <c r="G63" i="32" s="1"/>
  <c r="E72" i="34"/>
  <c r="G80" i="34" s="1"/>
  <c r="E180" i="32"/>
  <c r="E185" i="32" s="1"/>
  <c r="C312" i="34"/>
  <c r="U276" i="38"/>
  <c r="U277" i="38" s="1"/>
  <c r="C1760" i="33"/>
  <c r="E850" i="39"/>
  <c r="E830" i="39"/>
  <c r="E800" i="39"/>
  <c r="A759" i="39"/>
  <c r="A760" i="39" s="1"/>
  <c r="E758" i="39" s="1"/>
  <c r="D702" i="39"/>
  <c r="F703" i="39" s="1"/>
  <c r="A617" i="39"/>
  <c r="E290" i="39"/>
  <c r="C294" i="39" s="1"/>
  <c r="A663" i="32"/>
  <c r="C665" i="32" s="1"/>
  <c r="I664" i="32" s="1"/>
  <c r="F42" i="37"/>
  <c r="A172" i="41"/>
  <c r="G173" i="41" s="1"/>
  <c r="G175" i="41" s="1"/>
  <c r="G367" i="41"/>
  <c r="C371" i="41" s="1"/>
  <c r="I31" i="42"/>
  <c r="A72" i="41"/>
  <c r="E72" i="41" s="1"/>
  <c r="E73" i="41" s="1"/>
  <c r="E76" i="41" s="1"/>
  <c r="C78" i="41" s="1"/>
  <c r="D108" i="34"/>
  <c r="I30" i="42"/>
  <c r="A173" i="36"/>
  <c r="E172" i="36" s="1"/>
  <c r="F174" i="36" s="1"/>
  <c r="G74" i="46"/>
  <c r="A35" i="46"/>
  <c r="A1199" i="33"/>
  <c r="D336" i="39"/>
  <c r="D60" i="32"/>
  <c r="D62" i="32" s="1"/>
  <c r="G576" i="37"/>
  <c r="D579" i="37" s="1"/>
  <c r="G542" i="37"/>
  <c r="D116" i="37"/>
  <c r="A116" i="37" s="1"/>
  <c r="A117" i="37" s="1"/>
  <c r="C119" i="37" s="1"/>
  <c r="F192" i="37"/>
  <c r="F196" i="37" s="1"/>
  <c r="G200" i="37" s="1"/>
  <c r="D146" i="37"/>
  <c r="D88" i="32"/>
  <c r="C92" i="32" s="1"/>
  <c r="F577" i="37"/>
  <c r="K124" i="42"/>
  <c r="L124" i="42" s="1"/>
  <c r="A152" i="46"/>
  <c r="E152" i="46" s="1"/>
  <c r="F752" i="37"/>
  <c r="F753" i="37" s="1"/>
  <c r="G758" i="37" s="1"/>
  <c r="A149" i="42"/>
  <c r="A151" i="42" s="1"/>
  <c r="B232" i="46"/>
  <c r="C233" i="46" s="1"/>
  <c r="A833" i="39"/>
  <c r="A150" i="42"/>
  <c r="A407" i="38"/>
  <c r="E267" i="36"/>
  <c r="A415" i="37"/>
  <c r="E417" i="37" s="1"/>
  <c r="A417" i="37" s="1"/>
  <c r="E414" i="37" s="1"/>
  <c r="E350" i="37"/>
  <c r="E345" i="37" s="1"/>
  <c r="E328" i="37"/>
  <c r="A277" i="37"/>
  <c r="A259" i="37"/>
  <c r="A450" i="38"/>
  <c r="A245" i="38"/>
  <c r="F223" i="38"/>
  <c r="A79" i="42"/>
  <c r="A1048" i="39"/>
  <c r="E1045" i="39" s="1"/>
  <c r="A768" i="37"/>
  <c r="F768" i="37" s="1"/>
  <c r="E318" i="38"/>
  <c r="G864" i="39"/>
  <c r="E864" i="39" s="1"/>
  <c r="C168" i="37"/>
  <c r="E260" i="38"/>
  <c r="C60" i="39"/>
  <c r="U423" i="39"/>
  <c r="U424" i="39" s="1"/>
  <c r="U427" i="39" s="1"/>
  <c r="E221" i="37"/>
  <c r="O225" i="37" s="1"/>
  <c r="M224" i="37" s="1"/>
  <c r="E349" i="37"/>
  <c r="A258" i="38"/>
  <c r="G281" i="34"/>
  <c r="A557" i="39"/>
  <c r="D14" i="32"/>
  <c r="E703" i="34"/>
  <c r="A189" i="41"/>
  <c r="G189" i="41" s="1"/>
  <c r="G106" i="41"/>
  <c r="A975" i="32"/>
  <c r="F452" i="36"/>
  <c r="C456" i="36" s="1"/>
  <c r="J730" i="39"/>
  <c r="F514" i="37"/>
  <c r="E626" i="37"/>
  <c r="A227" i="37"/>
  <c r="M230" i="37" s="1"/>
  <c r="B1183" i="33"/>
  <c r="A12" i="42"/>
  <c r="A679" i="39"/>
  <c r="D678" i="39" s="1"/>
  <c r="D679" i="39" s="1"/>
  <c r="A636" i="39"/>
  <c r="E634" i="39" s="1"/>
  <c r="A637" i="39" s="1"/>
  <c r="G635" i="39" s="1"/>
  <c r="E636" i="39" s="1"/>
  <c r="D430" i="34"/>
  <c r="D431" i="34" s="1"/>
  <c r="C433" i="34" s="1"/>
  <c r="A348" i="41"/>
  <c r="C347" i="41" s="1"/>
  <c r="E344" i="41" s="1"/>
  <c r="E143" i="34"/>
  <c r="D456" i="34"/>
  <c r="D457" i="34" s="1"/>
  <c r="C459" i="34" s="1"/>
  <c r="G219" i="41"/>
  <c r="A401" i="37"/>
  <c r="E403" i="37" s="1"/>
  <c r="G405" i="37" s="1"/>
  <c r="A102" i="38"/>
  <c r="C1830" i="33"/>
  <c r="C93" i="41"/>
  <c r="F380" i="37"/>
  <c r="E1002" i="39"/>
  <c r="C1006" i="39" s="1"/>
  <c r="E801" i="39"/>
  <c r="F730" i="39"/>
  <c r="F733" i="39" s="1"/>
  <c r="D651" i="34"/>
  <c r="C655" i="34" s="1"/>
  <c r="G495" i="39"/>
  <c r="G496" i="39" s="1"/>
  <c r="A499" i="39" s="1"/>
  <c r="A500" i="39" s="1"/>
  <c r="C502" i="39" s="1"/>
  <c r="D529" i="32"/>
  <c r="D530" i="32" s="1"/>
  <c r="G116" i="34"/>
  <c r="D111" i="34"/>
  <c r="J109" i="34" s="1"/>
  <c r="A458" i="37"/>
  <c r="A460" i="37" s="1"/>
  <c r="A462" i="37" s="1"/>
  <c r="E456" i="37"/>
  <c r="D150" i="41"/>
  <c r="C150" i="41"/>
  <c r="E150" i="41"/>
  <c r="E691" i="34"/>
  <c r="E690" i="34" s="1"/>
  <c r="G692" i="34" s="1"/>
  <c r="G644" i="37"/>
  <c r="B1379" i="33"/>
  <c r="D117" i="32"/>
  <c r="H115" i="32" s="1"/>
  <c r="H116" i="32" s="1"/>
  <c r="G120" i="32" s="1"/>
  <c r="A128" i="42"/>
  <c r="F290" i="34"/>
  <c r="G143" i="37"/>
  <c r="A202" i="42"/>
  <c r="F177" i="37"/>
  <c r="C183" i="37" s="1"/>
  <c r="E1017" i="39"/>
  <c r="A1017" i="39" s="1"/>
  <c r="E1015" i="39" s="1"/>
  <c r="E1019" i="39" s="1"/>
  <c r="C1021" i="39" s="1"/>
  <c r="A773" i="39"/>
  <c r="A774" i="39" s="1"/>
  <c r="E581" i="39"/>
  <c r="A478" i="39"/>
  <c r="C482" i="39" s="1"/>
  <c r="E304" i="39"/>
  <c r="E305" i="39" s="1"/>
  <c r="C308" i="39" s="1"/>
  <c r="A253" i="39"/>
  <c r="A254" i="39" s="1"/>
  <c r="D737" i="32"/>
  <c r="C741" i="32" s="1"/>
  <c r="D722" i="32"/>
  <c r="C726" i="32" s="1"/>
  <c r="J113" i="34"/>
  <c r="D576" i="34"/>
  <c r="D104" i="41"/>
  <c r="A36" i="42"/>
  <c r="G107" i="41"/>
  <c r="A1049" i="33"/>
  <c r="E657" i="39"/>
  <c r="A387" i="38"/>
  <c r="A389" i="38" s="1"/>
  <c r="A227" i="38"/>
  <c r="F224" i="38" s="1"/>
  <c r="C231" i="38" s="1"/>
  <c r="A1031" i="39"/>
  <c r="E1030" i="39" s="1"/>
  <c r="C1035" i="39" s="1"/>
  <c r="E851" i="39"/>
  <c r="C855" i="39" s="1"/>
  <c r="A1577" i="33"/>
  <c r="C1524" i="33"/>
  <c r="C1474" i="33"/>
  <c r="A688" i="37"/>
  <c r="F687" i="37" s="1"/>
  <c r="H687" i="37" s="1"/>
  <c r="G592" i="37"/>
  <c r="E527" i="37"/>
  <c r="F513" i="37"/>
  <c r="E392" i="37"/>
  <c r="A395" i="37" s="1"/>
  <c r="E393" i="37" s="1"/>
  <c r="E346" i="37"/>
  <c r="E327" i="37"/>
  <c r="E329" i="37" s="1"/>
  <c r="A280" i="37"/>
  <c r="J277" i="37" s="1"/>
  <c r="A260" i="37"/>
  <c r="E209" i="37"/>
  <c r="C212" i="37" s="1"/>
  <c r="D69" i="37"/>
  <c r="F71" i="37" s="1"/>
  <c r="G71" i="37" s="1"/>
  <c r="E331" i="38"/>
  <c r="D301" i="38"/>
  <c r="L301" i="38" s="1"/>
  <c r="P300" i="38" s="1"/>
  <c r="F190" i="38"/>
  <c r="F101" i="38"/>
  <c r="F102" i="38" s="1"/>
  <c r="C72" i="38"/>
  <c r="C260" i="34"/>
  <c r="E804" i="37"/>
  <c r="E802" i="37" s="1"/>
  <c r="C807" i="37" s="1"/>
  <c r="L41" i="39"/>
  <c r="C417" i="39"/>
  <c r="F151" i="41"/>
  <c r="C780" i="32"/>
  <c r="D705" i="39"/>
  <c r="M358" i="34"/>
  <c r="A422" i="38"/>
  <c r="A244" i="38"/>
  <c r="L446" i="32"/>
  <c r="E257" i="34"/>
  <c r="A94" i="34"/>
  <c r="E41" i="34"/>
  <c r="C46" i="34" s="1"/>
  <c r="A236" i="41"/>
  <c r="A237" i="41" s="1"/>
  <c r="A204" i="41"/>
  <c r="C125" i="41"/>
  <c r="A11" i="41"/>
  <c r="A292" i="40"/>
  <c r="E290" i="40" s="1"/>
  <c r="E291" i="40" s="1"/>
  <c r="H291" i="40" s="1"/>
  <c r="B294" i="40" s="1"/>
  <c r="A147" i="36"/>
  <c r="I952" i="39"/>
  <c r="C954" i="39" s="1"/>
  <c r="A1052" i="39"/>
  <c r="A1051" i="39" s="1"/>
  <c r="A206" i="34"/>
  <c r="E388" i="38"/>
  <c r="E718" i="34"/>
  <c r="A127" i="42"/>
  <c r="G398" i="36"/>
  <c r="I398" i="36" s="1"/>
  <c r="M360" i="34"/>
  <c r="A821" i="37"/>
  <c r="A823" i="37" s="1"/>
  <c r="L445" i="32"/>
  <c r="I364" i="34"/>
  <c r="D308" i="34"/>
  <c r="D309" i="34" s="1"/>
  <c r="E152" i="42"/>
  <c r="L161" i="42" s="1"/>
  <c r="A201" i="42"/>
  <c r="A421" i="39"/>
  <c r="D421" i="39" s="1"/>
  <c r="D422" i="39" s="1"/>
  <c r="A986" i="39"/>
  <c r="B988" i="39" s="1"/>
  <c r="C1381" i="33"/>
  <c r="D482" i="34"/>
  <c r="D442" i="34"/>
  <c r="D443" i="34" s="1"/>
  <c r="D444" i="34" s="1"/>
  <c r="C446" i="34" s="1"/>
  <c r="G415" i="34"/>
  <c r="A454" i="39"/>
  <c r="A455" i="39" s="1"/>
  <c r="A456" i="39" s="1"/>
  <c r="A273" i="40"/>
  <c r="F57" i="41"/>
  <c r="F58" i="41" s="1"/>
  <c r="C372" i="36"/>
  <c r="E27" i="37"/>
  <c r="F27" i="37" s="1"/>
  <c r="A560" i="32"/>
  <c r="C562" i="32" s="1"/>
  <c r="A152" i="42"/>
  <c r="E395" i="41"/>
  <c r="E109" i="40"/>
  <c r="C983" i="39"/>
  <c r="C982" i="39" s="1"/>
  <c r="A144" i="42"/>
  <c r="D155" i="42" s="1"/>
  <c r="D46" i="32"/>
  <c r="D47" i="32" s="1"/>
  <c r="C50" i="32" s="1"/>
  <c r="E719" i="34"/>
  <c r="P277" i="38"/>
  <c r="F541" i="37"/>
  <c r="E332" i="41"/>
  <c r="C1379" i="33"/>
  <c r="C75" i="33"/>
  <c r="A175" i="40"/>
  <c r="A153" i="42"/>
  <c r="F41" i="36"/>
  <c r="C44" i="36" s="1"/>
  <c r="E319" i="38"/>
  <c r="G322" i="38" s="1"/>
  <c r="D19" i="39"/>
  <c r="B1381" i="33"/>
  <c r="B1384" i="33" s="1"/>
  <c r="B1385" i="33" s="1"/>
  <c r="B1386" i="33" s="1"/>
  <c r="A146" i="42"/>
  <c r="C100" i="46"/>
  <c r="E47" i="46"/>
  <c r="C51" i="46" s="1"/>
  <c r="C1159" i="33"/>
  <c r="A923" i="39"/>
  <c r="D473" i="32"/>
  <c r="K478" i="32" s="1"/>
  <c r="D429" i="32"/>
  <c r="D309" i="32"/>
  <c r="J254" i="32"/>
  <c r="D226" i="32"/>
  <c r="C230" i="32" s="1"/>
  <c r="E184" i="32"/>
  <c r="A132" i="32"/>
  <c r="C132" i="32" s="1"/>
  <c r="C134" i="32" s="1"/>
  <c r="A401" i="34"/>
  <c r="E413" i="36"/>
  <c r="C417" i="36" s="1"/>
  <c r="E101" i="42"/>
  <c r="C105" i="42" s="1"/>
  <c r="D61" i="42"/>
  <c r="D352" i="38"/>
  <c r="D355" i="38" s="1"/>
  <c r="D172" i="41"/>
  <c r="G174" i="41" s="1"/>
  <c r="G176" i="41" s="1"/>
  <c r="A256" i="40"/>
  <c r="A258" i="40"/>
  <c r="C259" i="40" s="1"/>
  <c r="A259" i="40" s="1"/>
  <c r="C62" i="36"/>
  <c r="C63" i="36"/>
  <c r="A242" i="37"/>
  <c r="F240" i="37"/>
  <c r="J240" i="37" s="1"/>
  <c r="I267" i="36"/>
  <c r="C273" i="36" s="1"/>
  <c r="E345" i="41"/>
  <c r="E250" i="39"/>
  <c r="E251" i="39" s="1"/>
  <c r="E252" i="39"/>
  <c r="A646" i="32"/>
  <c r="D646" i="32" s="1"/>
  <c r="D648" i="32" s="1"/>
  <c r="F356" i="34"/>
  <c r="F357" i="34" s="1"/>
  <c r="C371" i="34" s="1"/>
  <c r="A34" i="46"/>
  <c r="G328" i="36"/>
  <c r="I328" i="36" s="1"/>
  <c r="G144" i="37"/>
  <c r="L145" i="37" s="1"/>
  <c r="L146" i="37" s="1"/>
  <c r="A126" i="41"/>
  <c r="J513" i="37"/>
  <c r="C101" i="37"/>
  <c r="E259" i="38"/>
  <c r="F56" i="34"/>
  <c r="C62" i="34" s="1"/>
  <c r="Q388" i="38"/>
  <c r="E72" i="40"/>
  <c r="G82" i="40" s="1"/>
  <c r="E110" i="40"/>
  <c r="E111" i="40" s="1"/>
  <c r="A119" i="38"/>
  <c r="F592" i="37"/>
  <c r="G595" i="37" s="1"/>
  <c r="E208" i="38"/>
  <c r="A361" i="39"/>
  <c r="D511" i="32"/>
  <c r="G511" i="32" s="1"/>
  <c r="G512" i="32" s="1"/>
  <c r="C518" i="32" s="1"/>
  <c r="E331" i="41"/>
  <c r="C334" i="41" s="1"/>
  <c r="A129" i="37"/>
  <c r="F128" i="37" s="1"/>
  <c r="E373" i="38"/>
  <c r="F239" i="40"/>
  <c r="A239" i="40" s="1"/>
  <c r="F240" i="40" s="1"/>
  <c r="A255" i="32"/>
  <c r="A254" i="32" s="1"/>
  <c r="J255" i="32" s="1"/>
  <c r="A172" i="42"/>
  <c r="J252" i="32"/>
  <c r="C117" i="39"/>
  <c r="H529" i="37"/>
  <c r="F83" i="37"/>
  <c r="H59" i="42"/>
  <c r="H592" i="37"/>
  <c r="C652" i="39"/>
  <c r="A660" i="39" s="1"/>
  <c r="D101" i="32"/>
  <c r="D103" i="32" s="1"/>
  <c r="D104" i="32" s="1"/>
  <c r="H192" i="40"/>
  <c r="A91" i="34"/>
  <c r="G89" i="34" s="1"/>
  <c r="D857" i="32"/>
  <c r="D858" i="32" s="1"/>
  <c r="A305" i="36"/>
  <c r="H573" i="32"/>
  <c r="G400" i="36"/>
  <c r="I400" i="36" s="1"/>
  <c r="E529" i="37"/>
  <c r="C357" i="39"/>
  <c r="C355" i="39" s="1"/>
  <c r="C177" i="34"/>
  <c r="A148" i="38"/>
  <c r="A149" i="38" s="1"/>
  <c r="F147" i="38" s="1"/>
  <c r="F148" i="38" s="1"/>
  <c r="C151" i="38" s="1"/>
  <c r="C175" i="34"/>
  <c r="B536" i="33"/>
  <c r="C538" i="33" s="1"/>
  <c r="D337" i="39"/>
  <c r="A235" i="34"/>
  <c r="A236" i="34" s="1"/>
  <c r="I544" i="37"/>
  <c r="A474" i="37"/>
  <c r="E475" i="37" s="1"/>
  <c r="A442" i="37"/>
  <c r="E442" i="37" s="1"/>
  <c r="E443" i="37" s="1"/>
  <c r="C446" i="37" s="1"/>
  <c r="A232" i="36"/>
  <c r="E956" i="32"/>
  <c r="A958" i="32" s="1"/>
  <c r="C1387" i="33"/>
  <c r="D589" i="34"/>
  <c r="H576" i="37"/>
  <c r="H527" i="37"/>
  <c r="I657" i="39"/>
  <c r="J241" i="37"/>
  <c r="F53" i="36"/>
  <c r="I53" i="36" s="1"/>
  <c r="C58" i="36" s="1"/>
  <c r="E231" i="36"/>
  <c r="A16" i="32"/>
  <c r="D13" i="32" s="1"/>
  <c r="D15" i="32" s="1"/>
  <c r="C18" i="32" s="1"/>
  <c r="A175" i="34"/>
  <c r="A173" i="34" s="1"/>
  <c r="D618" i="39"/>
  <c r="E15" i="40"/>
  <c r="E16" i="40" s="1"/>
  <c r="C18" i="40" s="1"/>
  <c r="A116" i="36"/>
  <c r="A117" i="36" s="1"/>
  <c r="H50" i="42"/>
  <c r="E13" i="37"/>
  <c r="G16" i="37" s="1"/>
  <c r="E469" i="39"/>
  <c r="A475" i="32"/>
  <c r="C478" i="32" s="1"/>
  <c r="E364" i="37"/>
  <c r="H572" i="32"/>
  <c r="F477" i="36"/>
  <c r="A480" i="36" s="1"/>
  <c r="F480" i="36" s="1"/>
  <c r="J692" i="32"/>
  <c r="C443" i="36"/>
  <c r="A219" i="42"/>
  <c r="A174" i="42"/>
  <c r="A328" i="34"/>
  <c r="F329" i="34" s="1"/>
  <c r="C331" i="34" s="1"/>
  <c r="E39" i="34"/>
  <c r="A319" i="38"/>
  <c r="C322" i="38" s="1"/>
  <c r="E256" i="34"/>
  <c r="C653" i="39"/>
  <c r="F131" i="42"/>
  <c r="H51" i="42"/>
  <c r="A390" i="38"/>
  <c r="A391" i="38" s="1"/>
  <c r="E392" i="38" s="1"/>
  <c r="F291" i="34"/>
  <c r="T277" i="38"/>
  <c r="D780" i="32"/>
  <c r="D782" i="32" s="1"/>
  <c r="C787" i="32" s="1"/>
  <c r="F13" i="36"/>
  <c r="D571" i="32"/>
  <c r="D572" i="32" s="1"/>
  <c r="J515" i="37"/>
  <c r="F329" i="40"/>
  <c r="C333" i="40" s="1"/>
  <c r="G327" i="36"/>
  <c r="I327" i="36" s="1"/>
  <c r="A217" i="42"/>
  <c r="A171" i="42"/>
  <c r="A545" i="32"/>
  <c r="C547" i="32" s="1"/>
  <c r="E181" i="46"/>
  <c r="G73" i="46"/>
  <c r="C1632" i="33"/>
  <c r="C1536" i="33"/>
  <c r="A1201" i="33"/>
  <c r="G1198" i="33" s="1"/>
  <c r="E900" i="39"/>
  <c r="A901" i="39" s="1"/>
  <c r="E902" i="39" s="1"/>
  <c r="A906" i="39" s="1"/>
  <c r="A880" i="39"/>
  <c r="A887" i="39" s="1"/>
  <c r="C890" i="39" s="1"/>
  <c r="E519" i="36"/>
  <c r="A522" i="36" s="1"/>
  <c r="E522" i="36" s="1"/>
  <c r="H113" i="34"/>
  <c r="E347" i="41"/>
  <c r="A184" i="32"/>
  <c r="C187" i="32" s="1"/>
  <c r="C331" i="39"/>
  <c r="E939" i="32"/>
  <c r="G945" i="32" s="1"/>
  <c r="A477" i="39"/>
  <c r="F70" i="37"/>
  <c r="F576" i="37"/>
  <c r="E175" i="36"/>
  <c r="G178" i="36" s="1"/>
  <c r="E336" i="38"/>
  <c r="G380" i="39"/>
  <c r="G157" i="42"/>
  <c r="C161" i="42" s="1"/>
  <c r="C202" i="33"/>
  <c r="G12" i="42"/>
  <c r="C19" i="42" s="1"/>
  <c r="A619" i="39"/>
  <c r="F1271" i="33"/>
  <c r="C1274" i="33" s="1"/>
  <c r="C1148" i="33"/>
  <c r="D416" i="32"/>
  <c r="G420" i="32" s="1"/>
  <c r="D625" i="34"/>
  <c r="C629" i="34" s="1"/>
  <c r="F355" i="34"/>
  <c r="D234" i="41"/>
  <c r="F235" i="41" s="1"/>
  <c r="G397" i="36"/>
  <c r="I397" i="36" s="1"/>
  <c r="E101" i="36"/>
  <c r="C105" i="36" s="1"/>
  <c r="D166" i="32"/>
  <c r="C1357" i="33"/>
  <c r="J97" i="37"/>
  <c r="E201" i="34"/>
  <c r="C208" i="34" s="1"/>
  <c r="F128" i="42"/>
  <c r="C651" i="39"/>
  <c r="C324" i="41"/>
  <c r="L423" i="39"/>
  <c r="L424" i="39" s="1"/>
  <c r="A476" i="39"/>
  <c r="D458" i="32"/>
  <c r="F54" i="36"/>
  <c r="I54" i="36" s="1"/>
  <c r="E248" i="46"/>
  <c r="E166" i="46"/>
  <c r="H74" i="46"/>
  <c r="B803" i="33"/>
  <c r="D705" i="32"/>
  <c r="D468" i="34"/>
  <c r="D261" i="41"/>
  <c r="C265" i="41" s="1"/>
  <c r="F506" i="36"/>
  <c r="C510" i="36" s="1"/>
  <c r="A258" i="37"/>
  <c r="A586" i="32"/>
  <c r="D587" i="32" s="1"/>
  <c r="C590" i="32" s="1"/>
  <c r="E801" i="33"/>
  <c r="E800" i="33"/>
  <c r="G800" i="33"/>
  <c r="I310" i="34"/>
  <c r="I313" i="34"/>
  <c r="D312" i="34"/>
  <c r="D423" i="39"/>
  <c r="G799" i="33"/>
  <c r="C30" i="37"/>
  <c r="B30" i="37"/>
  <c r="I36" i="42"/>
  <c r="C41" i="42" s="1"/>
  <c r="F273" i="40"/>
  <c r="F277" i="40" s="1"/>
  <c r="D240" i="32"/>
  <c r="D241" i="32" s="1"/>
  <c r="C666" i="32"/>
  <c r="I665" i="32" s="1"/>
  <c r="A644" i="37"/>
  <c r="F642" i="37" s="1"/>
  <c r="F644" i="37" s="1"/>
  <c r="C646" i="37" s="1"/>
  <c r="O224" i="37"/>
  <c r="M223" i="37" s="1"/>
  <c r="F767" i="37"/>
  <c r="F771" i="37" s="1"/>
  <c r="H303" i="38"/>
  <c r="H304" i="38" s="1"/>
  <c r="G307" i="38" s="1"/>
  <c r="L302" i="38"/>
  <c r="G429" i="32"/>
  <c r="G430" i="32" s="1"/>
  <c r="C434" i="32"/>
  <c r="E88" i="39"/>
  <c r="H109" i="34"/>
  <c r="A102" i="42"/>
  <c r="A103" i="42"/>
  <c r="E103" i="42" s="1"/>
  <c r="C109" i="42" s="1"/>
  <c r="F101" i="42"/>
  <c r="C106" i="42" s="1"/>
  <c r="C210" i="33"/>
  <c r="A264" i="46"/>
  <c r="C264" i="46" s="1"/>
  <c r="A263" i="46"/>
  <c r="C263" i="46" s="1"/>
  <c r="A262" i="46"/>
  <c r="C262" i="46" s="1"/>
  <c r="A118" i="46"/>
  <c r="A120" i="46"/>
  <c r="I37" i="42"/>
  <c r="E195" i="39"/>
  <c r="E193" i="39"/>
  <c r="I312" i="34"/>
  <c r="A235" i="36"/>
  <c r="E235" i="36" s="1"/>
  <c r="H231" i="36"/>
  <c r="F481" i="36"/>
  <c r="G481" i="36"/>
  <c r="G104" i="41"/>
  <c r="A128" i="41"/>
  <c r="C176" i="40"/>
  <c r="F706" i="39"/>
  <c r="C82" i="39"/>
  <c r="A88" i="39"/>
  <c r="E85" i="39" s="1"/>
  <c r="C1680" i="33"/>
  <c r="A123" i="39"/>
  <c r="A130" i="39" s="1"/>
  <c r="G652" i="39"/>
  <c r="C59" i="39"/>
  <c r="A907" i="39"/>
  <c r="A37" i="39"/>
  <c r="E382" i="36"/>
  <c r="G381" i="36" s="1"/>
  <c r="A1050" i="33"/>
  <c r="C1055" i="33" s="1"/>
  <c r="J36" i="42"/>
  <c r="C66" i="32"/>
  <c r="A241" i="42"/>
  <c r="F245" i="42" s="1"/>
  <c r="G245" i="42" s="1"/>
  <c r="C248" i="42"/>
  <c r="I308" i="34"/>
  <c r="I311" i="34"/>
  <c r="E346" i="41"/>
  <c r="H60" i="42"/>
  <c r="E75" i="36"/>
  <c r="C80" i="36" s="1"/>
  <c r="G29" i="37"/>
  <c r="E31" i="32"/>
  <c r="C381" i="39"/>
  <c r="C380" i="39" s="1"/>
  <c r="D472" i="32"/>
  <c r="C129" i="40"/>
  <c r="G265" i="41"/>
  <c r="F175" i="38"/>
  <c r="G650" i="39"/>
  <c r="G206" i="42"/>
  <c r="E249" i="36"/>
  <c r="A183" i="46"/>
  <c r="E106" i="40"/>
  <c r="E108" i="40" s="1"/>
  <c r="E75" i="40"/>
  <c r="E76" i="40" s="1"/>
  <c r="A216" i="36"/>
  <c r="E216" i="36" s="1"/>
  <c r="E402" i="37"/>
  <c r="C405" i="37" s="1"/>
  <c r="F129" i="37"/>
  <c r="F130" i="37" s="1"/>
  <c r="C133" i="37" s="1"/>
  <c r="F226" i="40"/>
  <c r="C230" i="40" s="1"/>
  <c r="I967" i="39"/>
  <c r="E178" i="39"/>
  <c r="G145" i="39"/>
  <c r="D870" i="32"/>
  <c r="D871" i="32" s="1"/>
  <c r="C874" i="32" s="1"/>
  <c r="A810" i="32"/>
  <c r="D764" i="32"/>
  <c r="C771" i="32" s="1"/>
  <c r="D255" i="32"/>
  <c r="A146" i="32"/>
  <c r="D638" i="34"/>
  <c r="C642" i="34" s="1"/>
  <c r="A345" i="40"/>
  <c r="F342" i="40" s="1"/>
  <c r="F343" i="40" s="1"/>
  <c r="F346" i="40" s="1"/>
  <c r="D158" i="40"/>
  <c r="F658" i="37"/>
  <c r="C13" i="38"/>
  <c r="A13" i="38" s="1"/>
  <c r="F11" i="38" s="1"/>
  <c r="C15" i="38" s="1"/>
  <c r="E165" i="37"/>
  <c r="K168" i="37" s="1"/>
  <c r="C118" i="39"/>
  <c r="A1052" i="33"/>
  <c r="C1058" i="33" s="1"/>
  <c r="G434" i="32"/>
  <c r="I965" i="39"/>
  <c r="F700" i="37"/>
  <c r="C706" i="37" s="1"/>
  <c r="A117" i="46"/>
  <c r="C1712" i="33"/>
  <c r="C1442" i="33"/>
  <c r="D374" i="32"/>
  <c r="E294" i="37"/>
  <c r="E295" i="37" s="1"/>
  <c r="F191" i="38"/>
  <c r="E200" i="46"/>
  <c r="E705" i="34"/>
  <c r="A967" i="39"/>
  <c r="C942" i="39"/>
  <c r="E431" i="37"/>
  <c r="G433" i="37" s="1"/>
  <c r="E153" i="46"/>
  <c r="F59" i="41"/>
  <c r="F61" i="41" s="1"/>
  <c r="C63" i="41" s="1"/>
  <c r="G492" i="39"/>
  <c r="G493" i="39" s="1"/>
  <c r="A129" i="41"/>
  <c r="C37" i="39"/>
  <c r="A1051" i="33"/>
  <c r="C1059" i="33" s="1"/>
  <c r="D483" i="34"/>
  <c r="C487" i="34" s="1"/>
  <c r="A81" i="42"/>
  <c r="F14" i="36"/>
  <c r="C16" i="36" s="1"/>
  <c r="A682" i="39"/>
  <c r="A683" i="39" s="1"/>
  <c r="A684" i="39" s="1"/>
  <c r="D684" i="39" s="1"/>
  <c r="D685" i="39" s="1"/>
  <c r="C687" i="39" s="1"/>
  <c r="A279" i="46"/>
  <c r="D277" i="46" s="1"/>
  <c r="C284" i="46" s="1"/>
  <c r="F136" i="46"/>
  <c r="C1600" i="33"/>
  <c r="C1349" i="33"/>
  <c r="A720" i="37"/>
  <c r="F716" i="37" s="1"/>
  <c r="F718" i="37" s="1"/>
  <c r="C724" i="37" s="1"/>
  <c r="E449" i="38"/>
  <c r="C454" i="38" s="1"/>
  <c r="D524" i="34"/>
  <c r="I234" i="36"/>
  <c r="I235" i="36" s="1"/>
  <c r="I53" i="42"/>
  <c r="H54" i="42"/>
  <c r="E61" i="42"/>
  <c r="H254" i="32"/>
  <c r="H255" i="32"/>
  <c r="J253" i="32"/>
  <c r="H252" i="32"/>
  <c r="A170" i="46"/>
  <c r="E168" i="46"/>
  <c r="L125" i="42"/>
  <c r="L126" i="42"/>
  <c r="D904" i="32"/>
  <c r="D905" i="32" s="1"/>
  <c r="D906" i="32" s="1"/>
  <c r="D907" i="32" s="1"/>
  <c r="F177" i="38"/>
  <c r="F178" i="38" s="1"/>
  <c r="E12" i="37"/>
  <c r="G576" i="34"/>
  <c r="G577" i="34" s="1"/>
  <c r="G580" i="34" s="1"/>
  <c r="C206" i="42"/>
  <c r="C129" i="42"/>
  <c r="A129" i="42" s="1"/>
  <c r="F130" i="42" s="1"/>
  <c r="C971" i="32"/>
  <c r="C973" i="32"/>
  <c r="M221" i="37"/>
  <c r="O226" i="37"/>
  <c r="M225" i="37" s="1"/>
  <c r="E27" i="32"/>
  <c r="E30" i="32"/>
  <c r="E218" i="36"/>
  <c r="E215" i="36"/>
  <c r="A219" i="36" s="1"/>
  <c r="A908" i="39"/>
  <c r="F367" i="34"/>
  <c r="K371" i="34" s="1"/>
  <c r="L129" i="42"/>
  <c r="E1765" i="33"/>
  <c r="F174" i="38"/>
  <c r="C181" i="38" s="1"/>
  <c r="C106" i="32"/>
  <c r="G101" i="32"/>
  <c r="K388" i="38"/>
  <c r="E391" i="38"/>
  <c r="P387" i="38" s="1"/>
  <c r="A408" i="38"/>
  <c r="C1732" i="33"/>
  <c r="E1018" i="39"/>
  <c r="I1019" i="39" s="1"/>
  <c r="F134" i="38"/>
  <c r="A135" i="38"/>
  <c r="F133" i="38" s="1"/>
  <c r="F242" i="40"/>
  <c r="K246" i="40" s="1"/>
  <c r="F176" i="38"/>
  <c r="H36" i="42"/>
  <c r="E389" i="38"/>
  <c r="E390" i="38" s="1"/>
  <c r="C395" i="38" s="1"/>
  <c r="O636" i="32"/>
  <c r="F630" i="32"/>
  <c r="K636" i="32" s="1"/>
  <c r="A125" i="40"/>
  <c r="E125" i="40" s="1"/>
  <c r="C128" i="40" s="1"/>
  <c r="C130" i="40" s="1"/>
  <c r="C136" i="40" s="1"/>
  <c r="D110" i="34"/>
  <c r="J511" i="32"/>
  <c r="J513" i="32"/>
  <c r="J514" i="32" s="1"/>
  <c r="N511" i="32" s="1"/>
  <c r="K518" i="32" s="1"/>
  <c r="F686" i="37"/>
  <c r="H686" i="37" s="1"/>
  <c r="A886" i="39"/>
  <c r="E878" i="39"/>
  <c r="G555" i="39"/>
  <c r="C556" i="39"/>
  <c r="C557" i="39"/>
  <c r="A360" i="34"/>
  <c r="I356" i="34" s="1"/>
  <c r="K116" i="34"/>
  <c r="H110" i="34"/>
  <c r="E1387" i="33"/>
  <c r="F310" i="40"/>
  <c r="F311" i="40" s="1"/>
  <c r="C242" i="39"/>
  <c r="E521" i="36"/>
  <c r="F127" i="42"/>
  <c r="H37" i="42"/>
  <c r="E200" i="32"/>
  <c r="C204" i="32" s="1"/>
  <c r="D356" i="38"/>
  <c r="D357" i="38" s="1"/>
  <c r="E457" i="37"/>
  <c r="E458" i="37"/>
  <c r="E611" i="37"/>
  <c r="I291" i="40"/>
  <c r="B298" i="40"/>
  <c r="E303" i="36"/>
  <c r="D304" i="38"/>
  <c r="L303" i="38"/>
  <c r="G1197" i="33"/>
  <c r="D112" i="34"/>
  <c r="G191" i="41"/>
  <c r="I191" i="41" s="1"/>
  <c r="G190" i="41"/>
  <c r="E73" i="34"/>
  <c r="C228" i="33"/>
  <c r="A1503" i="33"/>
  <c r="A1501" i="33"/>
  <c r="I44" i="34"/>
  <c r="E44" i="34" s="1"/>
  <c r="K46" i="34" s="1"/>
  <c r="I42" i="34"/>
  <c r="E42" i="34" s="1"/>
  <c r="G46" i="34" s="1"/>
  <c r="G280" i="40"/>
  <c r="E630" i="37"/>
  <c r="H626" i="37" s="1"/>
  <c r="C632" i="37" s="1"/>
  <c r="E760" i="39"/>
  <c r="E759" i="39"/>
  <c r="C158" i="42"/>
  <c r="I157" i="42"/>
  <c r="D469" i="34"/>
  <c r="G472" i="34" s="1"/>
  <c r="C472" i="34"/>
  <c r="C1188" i="33"/>
  <c r="F731" i="39"/>
  <c r="G458" i="32"/>
  <c r="G459" i="32" s="1"/>
  <c r="C462" i="32" s="1"/>
  <c r="J693" i="32"/>
  <c r="D691" i="32" s="1"/>
  <c r="G691" i="32" s="1"/>
  <c r="G692" i="32" s="1"/>
  <c r="A129" i="36"/>
  <c r="E128" i="36" s="1"/>
  <c r="C134" i="36" s="1"/>
  <c r="D898" i="32"/>
  <c r="D899" i="32" s="1"/>
  <c r="D900" i="32" s="1"/>
  <c r="D901" i="32" s="1"/>
  <c r="A736" i="34"/>
  <c r="D538" i="34"/>
  <c r="C541" i="34" s="1"/>
  <c r="A129" i="34"/>
  <c r="C131" i="34" s="1"/>
  <c r="E232" i="36"/>
  <c r="E310" i="37"/>
  <c r="A313" i="37" s="1"/>
  <c r="E311" i="37" s="1"/>
  <c r="C389" i="39"/>
  <c r="A618" i="32"/>
  <c r="E831" i="39"/>
  <c r="C195" i="40"/>
  <c r="G325" i="36"/>
  <c r="I325" i="36" s="1"/>
  <c r="O223" i="37"/>
  <c r="M222" i="37" s="1"/>
  <c r="E582" i="39"/>
  <c r="A514" i="39"/>
  <c r="A402" i="34"/>
  <c r="D397" i="34" s="1"/>
  <c r="D398" i="34" s="1"/>
  <c r="E241" i="38"/>
  <c r="E243" i="38" s="1"/>
  <c r="E274" i="41"/>
  <c r="E886" i="32"/>
  <c r="C888" i="32" s="1"/>
  <c r="A146" i="39"/>
  <c r="A261" i="37"/>
  <c r="E179" i="39"/>
  <c r="E180" i="39" s="1"/>
  <c r="C182" i="39" s="1"/>
  <c r="G58" i="39"/>
  <c r="G399" i="36"/>
  <c r="I399" i="36" s="1"/>
  <c r="D399" i="36" s="1"/>
  <c r="H277" i="38"/>
  <c r="V277" i="38" s="1"/>
  <c r="C289" i="38" s="1"/>
  <c r="G696" i="32"/>
  <c r="D277" i="38"/>
  <c r="V276" i="38" s="1"/>
  <c r="C281" i="38" s="1"/>
  <c r="A18" i="46"/>
  <c r="A19" i="46" s="1"/>
  <c r="C21" i="46" s="1"/>
  <c r="E317" i="39"/>
  <c r="C321" i="39" s="1"/>
  <c r="A190" i="34"/>
  <c r="C192" i="34" s="1"/>
  <c r="A44" i="41"/>
  <c r="A330" i="40"/>
  <c r="F330" i="40" s="1"/>
  <c r="G333" i="40" s="1"/>
  <c r="F210" i="40"/>
  <c r="E145" i="40"/>
  <c r="C148" i="40" s="1"/>
  <c r="F685" i="37"/>
  <c r="E609" i="37"/>
  <c r="E607" i="37" s="1"/>
  <c r="F542" i="37"/>
  <c r="F515" i="37"/>
  <c r="A492" i="37"/>
  <c r="F379" i="37"/>
  <c r="C383" i="37" s="1"/>
  <c r="E361" i="37"/>
  <c r="E363" i="37" s="1"/>
  <c r="E365" i="37" s="1"/>
  <c r="C369" i="37" s="1"/>
  <c r="C79" i="32"/>
  <c r="E330" i="37"/>
  <c r="C335" i="37" s="1"/>
  <c r="D271" i="32"/>
  <c r="E246" i="46"/>
  <c r="E247" i="46" s="1"/>
  <c r="C1696" i="33"/>
  <c r="C1648" i="33"/>
  <c r="A855" i="32"/>
  <c r="D414" i="32"/>
  <c r="G414" i="32" s="1"/>
  <c r="G415" i="32" s="1"/>
  <c r="J414" i="32" s="1"/>
  <c r="E704" i="34"/>
  <c r="C708" i="34" s="1"/>
  <c r="F563" i="34"/>
  <c r="D564" i="34" s="1"/>
  <c r="D563" i="34" s="1"/>
  <c r="C567" i="34" s="1"/>
  <c r="E247" i="36"/>
  <c r="E372" i="38"/>
  <c r="E374" i="38" s="1"/>
  <c r="G378" i="38" s="1"/>
  <c r="C1057" i="33"/>
  <c r="D972" i="32"/>
  <c r="G972" i="32" s="1"/>
  <c r="A287" i="41"/>
  <c r="A180" i="42"/>
  <c r="A182" i="42" s="1"/>
  <c r="C184" i="42" s="1"/>
  <c r="E788" i="37"/>
  <c r="E786" i="37" s="1"/>
  <c r="E787" i="37" s="1"/>
  <c r="A969" i="39"/>
  <c r="C971" i="39" s="1"/>
  <c r="E375" i="38"/>
  <c r="A885" i="39"/>
  <c r="F225" i="40"/>
  <c r="F60" i="46"/>
  <c r="F61" i="46" s="1"/>
  <c r="C64" i="46" s="1"/>
  <c r="C1458" i="33"/>
  <c r="A599" i="39"/>
  <c r="A601" i="39" s="1"/>
  <c r="D766" i="32"/>
  <c r="D767" i="32" s="1"/>
  <c r="D768" i="32" s="1"/>
  <c r="K771" i="32" s="1"/>
  <c r="F11" i="34"/>
  <c r="C16" i="34" s="1"/>
  <c r="C989" i="33"/>
  <c r="A279" i="37"/>
  <c r="F277" i="37" s="1"/>
  <c r="G62" i="40"/>
  <c r="G293" i="46"/>
  <c r="G294" i="46" s="1"/>
  <c r="A799" i="32"/>
  <c r="C801" i="32" s="1"/>
  <c r="F161" i="38"/>
  <c r="F162" i="38" s="1"/>
  <c r="F163" i="38"/>
  <c r="A240" i="40"/>
  <c r="C246" i="40" s="1"/>
  <c r="F241" i="40"/>
  <c r="G246" i="40" s="1"/>
  <c r="I231" i="36"/>
  <c r="E258" i="34"/>
  <c r="C265" i="34" s="1"/>
  <c r="E260" i="34"/>
  <c r="E261" i="34" s="1"/>
  <c r="G265" i="34" s="1"/>
  <c r="C132" i="40"/>
  <c r="I314" i="34"/>
  <c r="I315" i="34"/>
  <c r="E637" i="39"/>
  <c r="C238" i="36"/>
  <c r="I307" i="34"/>
  <c r="E635" i="39"/>
  <c r="F129" i="42"/>
  <c r="J37" i="42"/>
  <c r="K41" i="42" s="1"/>
  <c r="G690" i="34"/>
  <c r="G691" i="34"/>
  <c r="F126" i="41"/>
  <c r="F368" i="34"/>
  <c r="L425" i="39"/>
  <c r="F256" i="40"/>
  <c r="G263" i="40" s="1"/>
  <c r="C580" i="34"/>
  <c r="E520" i="36"/>
  <c r="L257" i="38"/>
  <c r="C758" i="37"/>
  <c r="E940" i="32"/>
  <c r="K945" i="32" s="1"/>
  <c r="C116" i="39"/>
  <c r="C221" i="34"/>
  <c r="I279" i="39"/>
  <c r="C281" i="39" s="1"/>
  <c r="D647" i="32"/>
  <c r="H647" i="32"/>
  <c r="I647" i="32" s="1"/>
  <c r="D472" i="38"/>
  <c r="D473" i="38"/>
  <c r="F340" i="34"/>
  <c r="F341" i="34"/>
  <c r="A146" i="37"/>
  <c r="A147" i="37" s="1"/>
  <c r="C391" i="39"/>
  <c r="D391" i="39" s="1"/>
  <c r="D389" i="39" s="1"/>
  <c r="G150" i="41"/>
  <c r="G85" i="42"/>
  <c r="R388" i="38"/>
  <c r="S388" i="38" s="1"/>
  <c r="A290" i="36"/>
  <c r="E283" i="36" s="1"/>
  <c r="I420" i="38"/>
  <c r="I422" i="38"/>
  <c r="E142" i="34"/>
  <c r="E141" i="34"/>
  <c r="E154" i="46"/>
  <c r="A339" i="39"/>
  <c r="A476" i="38"/>
  <c r="U425" i="39"/>
  <c r="P423" i="39" s="1"/>
  <c r="K97" i="37"/>
  <c r="D99" i="37" s="1"/>
  <c r="C80" i="39"/>
  <c r="C59" i="36"/>
  <c r="G102" i="32"/>
  <c r="G103" i="32" s="1"/>
  <c r="F292" i="34"/>
  <c r="F293" i="34"/>
  <c r="G298" i="34" s="1"/>
  <c r="A45" i="39"/>
  <c r="F41" i="39" s="1"/>
  <c r="L42" i="39" s="1"/>
  <c r="L43" i="39" s="1"/>
  <c r="L44" i="39" s="1"/>
  <c r="I295" i="37"/>
  <c r="A423" i="38"/>
  <c r="A78" i="46"/>
  <c r="D77" i="46" s="1"/>
  <c r="D1501" i="33"/>
  <c r="D348" i="32"/>
  <c r="F103" i="42"/>
  <c r="C110" i="42" s="1"/>
  <c r="Y420" i="39"/>
  <c r="K296" i="37"/>
  <c r="B989" i="39"/>
  <c r="A987" i="39" s="1"/>
  <c r="B990" i="39" s="1"/>
  <c r="C992" i="39" s="1"/>
  <c r="H617" i="32"/>
  <c r="I616" i="32" s="1"/>
  <c r="C620" i="32" s="1"/>
  <c r="D416" i="34"/>
  <c r="J296" i="37"/>
  <c r="J297" i="37" s="1"/>
  <c r="F178" i="37"/>
  <c r="A140" i="46"/>
  <c r="F133" i="46" s="1"/>
  <c r="F134" i="46"/>
  <c r="D511" i="34"/>
  <c r="C515" i="34" s="1"/>
  <c r="F494" i="36"/>
  <c r="A493" i="36"/>
  <c r="D230" i="34"/>
  <c r="D231" i="34" s="1"/>
  <c r="D232" i="34" s="1"/>
  <c r="C238" i="34" s="1"/>
  <c r="D234" i="34"/>
  <c r="D235" i="34" s="1"/>
  <c r="D236" i="34" s="1"/>
  <c r="C247" i="34" s="1"/>
  <c r="A45" i="41"/>
  <c r="D40" i="41" s="1"/>
  <c r="F104" i="38"/>
  <c r="F105" i="38" s="1"/>
  <c r="C1234" i="33"/>
  <c r="D322" i="32"/>
  <c r="D323" i="32" s="1"/>
  <c r="A29" i="36"/>
  <c r="E26" i="36" s="1"/>
  <c r="E25" i="36"/>
  <c r="F661" i="32"/>
  <c r="F664" i="32"/>
  <c r="E771" i="39"/>
  <c r="C777" i="39" s="1"/>
  <c r="A671" i="37"/>
  <c r="F670" i="37" s="1"/>
  <c r="E398" i="41"/>
  <c r="E396" i="41"/>
  <c r="A477" i="37"/>
  <c r="A87" i="39"/>
  <c r="A94" i="39" s="1"/>
  <c r="Q390" i="38"/>
  <c r="R389" i="38"/>
  <c r="S389" i="38" s="1"/>
  <c r="A420" i="41"/>
  <c r="A421" i="41" s="1"/>
  <c r="G659" i="37"/>
  <c r="C661" i="37" s="1"/>
  <c r="G171" i="32"/>
  <c r="E340" i="36"/>
  <c r="E341" i="36" s="1"/>
  <c r="B292" i="32"/>
  <c r="B289" i="32"/>
  <c r="B288" i="32"/>
  <c r="B290" i="32"/>
  <c r="B291" i="32"/>
  <c r="B287" i="32"/>
  <c r="B1803" i="33"/>
  <c r="B1802" i="33"/>
  <c r="B358" i="36"/>
  <c r="J154" i="32"/>
  <c r="B605" i="34"/>
  <c r="B102" i="40"/>
  <c r="B253" i="41"/>
  <c r="F771" i="32"/>
  <c r="B50" i="40"/>
  <c r="B430" i="36"/>
  <c r="B61" i="37"/>
  <c r="B178" i="36"/>
  <c r="B554" i="34"/>
  <c r="B195" i="36"/>
  <c r="B753" i="39"/>
  <c r="B164" i="34"/>
  <c r="B35" i="34"/>
  <c r="B696" i="32"/>
  <c r="J282" i="41"/>
  <c r="B82" i="40"/>
  <c r="B31" i="40"/>
  <c r="B794" i="39"/>
  <c r="F519" i="32"/>
  <c r="B435" i="37"/>
  <c r="B85" i="42"/>
  <c r="B206" i="36"/>
  <c r="B934" i="32"/>
  <c r="B566" i="37"/>
  <c r="B639" i="32"/>
  <c r="B49" i="38"/>
  <c r="C1176" i="33"/>
  <c r="B1178" i="33"/>
  <c r="B1120" i="33"/>
  <c r="B217" i="39"/>
  <c r="B758" i="32"/>
  <c r="D303" i="41"/>
  <c r="B444" i="38"/>
  <c r="B825" i="39"/>
  <c r="B298" i="39"/>
  <c r="F758" i="37"/>
  <c r="B461" i="34"/>
  <c r="B1006" i="39"/>
  <c r="B119" i="37"/>
  <c r="F203" i="37"/>
  <c r="B376" i="41"/>
  <c r="F406" i="37"/>
  <c r="B93" i="32"/>
  <c r="F283" i="34"/>
  <c r="B458" i="36"/>
  <c r="C81" i="41"/>
  <c r="F347" i="38"/>
  <c r="B171" i="37"/>
  <c r="C438" i="34"/>
  <c r="B1834" i="33"/>
  <c r="B309" i="39"/>
  <c r="B215" i="37"/>
  <c r="B958" i="39"/>
  <c r="B375" i="36"/>
  <c r="B233" i="32"/>
  <c r="B183" i="37"/>
  <c r="B49" i="34"/>
  <c r="B52" i="46"/>
  <c r="B1476" i="33"/>
  <c r="B562" i="32"/>
  <c r="B1160" i="33"/>
  <c r="B137" i="32"/>
  <c r="B741" i="32"/>
  <c r="C811" i="37"/>
  <c r="D204" i="41"/>
  <c r="F121" i="32"/>
  <c r="K162" i="42"/>
  <c r="J150" i="32"/>
  <c r="B608" i="34"/>
  <c r="B101" i="40"/>
  <c r="B256" i="41"/>
  <c r="B471" i="36"/>
  <c r="B49" i="40"/>
  <c r="B59" i="37"/>
  <c r="B955" i="33"/>
  <c r="B558" i="34"/>
  <c r="B192" i="36"/>
  <c r="B750" i="39"/>
  <c r="B165" i="34"/>
  <c r="B700" i="32"/>
  <c r="B503" i="34"/>
  <c r="B85" i="40"/>
  <c r="B33" i="40"/>
  <c r="B796" i="39"/>
  <c r="F523" i="32"/>
  <c r="B385" i="41"/>
  <c r="B681" i="34"/>
  <c r="B58" i="38"/>
  <c r="B571" i="37"/>
  <c r="B33" i="38"/>
  <c r="B218" i="32"/>
  <c r="B1177" i="33"/>
  <c r="B1119" i="33"/>
  <c r="B218" i="39"/>
  <c r="B759" i="32"/>
  <c r="B125" i="32"/>
  <c r="B443" i="38"/>
  <c r="B821" i="39"/>
  <c r="C299" i="39"/>
  <c r="C295" i="39"/>
  <c r="F762" i="37"/>
  <c r="G760" i="37"/>
  <c r="B1011" i="39"/>
  <c r="B124" i="37"/>
  <c r="F200" i="37"/>
  <c r="F407" i="37"/>
  <c r="B657" i="34"/>
  <c r="F282" i="34"/>
  <c r="B457" i="36"/>
  <c r="B79" i="41"/>
  <c r="F344" i="38"/>
  <c r="C434" i="34"/>
  <c r="B1830" i="33"/>
  <c r="B95" i="41"/>
  <c r="B213" i="37"/>
  <c r="B956" i="39"/>
  <c r="B377" i="36"/>
  <c r="B231" i="32"/>
  <c r="B1527" i="33"/>
  <c r="B46" i="34"/>
  <c r="B1477" i="33"/>
  <c r="B451" i="34"/>
  <c r="B1159" i="33"/>
  <c r="B744" i="32"/>
  <c r="C809" i="37"/>
  <c r="B47" i="36"/>
  <c r="K165" i="42"/>
  <c r="F327" i="38"/>
  <c r="J478" i="32"/>
  <c r="F118" i="34"/>
  <c r="B1040" i="39"/>
  <c r="B486" i="39"/>
  <c r="C860" i="39"/>
  <c r="B855" i="39"/>
  <c r="B276" i="36"/>
  <c r="B233" i="38"/>
  <c r="C21" i="42"/>
  <c r="B731" i="32"/>
  <c r="B449" i="37"/>
  <c r="B327" i="41"/>
  <c r="B522" i="32"/>
  <c r="B335" i="34"/>
  <c r="B331" i="34"/>
  <c r="F178" i="36"/>
  <c r="B1276" i="33"/>
  <c r="B333" i="40"/>
  <c r="B1148" i="33"/>
  <c r="F84" i="40"/>
  <c r="B538" i="33"/>
  <c r="B326" i="38"/>
  <c r="F425" i="32"/>
  <c r="B629" i="34"/>
  <c r="C336" i="41"/>
  <c r="B334" i="41"/>
  <c r="B213" i="34"/>
  <c r="B513" i="36"/>
  <c r="B447" i="36"/>
  <c r="B550" i="32"/>
  <c r="B151" i="38"/>
  <c r="B893" i="39"/>
  <c r="B211" i="33"/>
  <c r="B644" i="34"/>
  <c r="F437" i="37"/>
  <c r="B1600" i="33"/>
  <c r="C292" i="38"/>
  <c r="D313" i="34"/>
  <c r="B1349" i="33"/>
  <c r="G268" i="41"/>
  <c r="F439" i="32"/>
  <c r="B68" i="41"/>
  <c r="B728" i="37"/>
  <c r="B591" i="32"/>
  <c r="J151" i="32"/>
  <c r="F183" i="40"/>
  <c r="B97" i="40"/>
  <c r="B255" i="41"/>
  <c r="B468" i="36"/>
  <c r="B51" i="40"/>
  <c r="B63" i="37"/>
  <c r="B953" i="33"/>
  <c r="B557" i="34"/>
  <c r="B503" i="32"/>
  <c r="B751" i="39"/>
  <c r="B1544" i="33"/>
  <c r="B697" i="32"/>
  <c r="B502" i="34"/>
  <c r="B86" i="40"/>
  <c r="B34" i="40"/>
  <c r="B795" i="39"/>
  <c r="F522" i="32"/>
  <c r="B390" i="41"/>
  <c r="B684" i="34"/>
  <c r="B935" i="32"/>
  <c r="B567" i="37"/>
  <c r="B29" i="38"/>
  <c r="B220" i="32"/>
  <c r="C1175" i="33"/>
  <c r="B1124" i="33"/>
  <c r="C219" i="39"/>
  <c r="B755" i="32"/>
  <c r="F305" i="41"/>
  <c r="B441" i="38"/>
  <c r="B824" i="39"/>
  <c r="C298" i="39"/>
  <c r="B1760" i="33"/>
  <c r="G759" i="37"/>
  <c r="F761" i="37"/>
  <c r="B1007" i="39"/>
  <c r="F202" i="37"/>
  <c r="F408" i="37"/>
  <c r="B658" i="34"/>
  <c r="F286" i="34"/>
  <c r="B460" i="36"/>
  <c r="B81" i="41"/>
  <c r="B170" i="37"/>
  <c r="B436" i="34"/>
  <c r="B1835" i="33"/>
  <c r="B96" i="41"/>
  <c r="B217" i="37"/>
  <c r="B955" i="39"/>
  <c r="C375" i="36"/>
  <c r="B184" i="37"/>
  <c r="B1529" i="33"/>
  <c r="B54" i="46"/>
  <c r="B1474" i="33"/>
  <c r="B563" i="32"/>
  <c r="B1164" i="33"/>
  <c r="B743" i="32"/>
  <c r="B811" i="37"/>
  <c r="B45" i="36"/>
  <c r="K161" i="42"/>
  <c r="F324" i="38"/>
  <c r="B419" i="36"/>
  <c r="F120" i="34"/>
  <c r="B1037" i="39"/>
  <c r="B483" i="39"/>
  <c r="B858" i="39"/>
  <c r="C859" i="39"/>
  <c r="B20" i="32"/>
  <c r="B236" i="38"/>
  <c r="C24" i="42"/>
  <c r="B727" i="32"/>
  <c r="B446" i="37"/>
  <c r="B326" i="41"/>
  <c r="B520" i="32"/>
  <c r="C335" i="34"/>
  <c r="B1637" i="33"/>
  <c r="F180" i="36"/>
  <c r="B1277" i="33"/>
  <c r="B18" i="40"/>
  <c r="B335" i="40"/>
  <c r="B1150" i="33"/>
  <c r="F83" i="40"/>
  <c r="B543" i="33"/>
  <c r="F950" i="32"/>
  <c r="F420" i="32"/>
  <c r="B265" i="41"/>
  <c r="C337" i="41"/>
  <c r="B336" i="41"/>
  <c r="B208" i="34"/>
  <c r="B512" i="36"/>
  <c r="B444" i="36"/>
  <c r="B551" i="32"/>
  <c r="B154" i="38"/>
  <c r="B890" i="39"/>
  <c r="C213" i="33"/>
  <c r="B642" i="34"/>
  <c r="B363" i="36"/>
  <c r="J153" i="32"/>
  <c r="F182" i="40"/>
  <c r="B99" i="40"/>
  <c r="F773" i="32"/>
  <c r="B469" i="36"/>
  <c r="B433" i="36"/>
  <c r="B60" i="37"/>
  <c r="B182" i="36"/>
  <c r="B556" i="34"/>
  <c r="B502" i="32"/>
  <c r="B749" i="39"/>
  <c r="B1545" i="33"/>
  <c r="B699" i="32"/>
  <c r="B507" i="34"/>
  <c r="B83" i="40"/>
  <c r="B86" i="33"/>
  <c r="B792" i="39"/>
  <c r="B434" i="37"/>
  <c r="B388" i="41"/>
  <c r="B41" i="38"/>
  <c r="B211" i="36"/>
  <c r="B933" i="32"/>
  <c r="B570" i="37"/>
  <c r="B32" i="38"/>
  <c r="B221" i="32"/>
  <c r="C1178" i="33"/>
  <c r="B1122" i="33"/>
  <c r="B219" i="39"/>
  <c r="B757" i="32"/>
  <c r="B669" i="34"/>
  <c r="B445" i="38"/>
  <c r="B297" i="39"/>
  <c r="B1761" i="33"/>
  <c r="G762" i="37"/>
  <c r="B462" i="34"/>
  <c r="B1008" i="39"/>
  <c r="F204" i="37"/>
  <c r="F405" i="37"/>
  <c r="B659" i="34"/>
  <c r="F285" i="34"/>
  <c r="B78" i="41"/>
  <c r="C82" i="41"/>
  <c r="B168" i="37"/>
  <c r="C435" i="34"/>
  <c r="B1831" i="33"/>
  <c r="B98" i="41"/>
  <c r="B214" i="37"/>
  <c r="C377" i="36"/>
  <c r="B372" i="36"/>
  <c r="B187" i="37"/>
  <c r="B1528" i="33"/>
  <c r="B55" i="46"/>
  <c r="B1479" i="33"/>
  <c r="B567" i="32"/>
  <c r="B1162" i="33"/>
  <c r="B742" i="32"/>
  <c r="B812" i="37"/>
  <c r="B49" i="36"/>
  <c r="K164" i="42"/>
  <c r="F322" i="38"/>
  <c r="B418" i="36"/>
  <c r="F116" i="34"/>
  <c r="B77" i="38"/>
  <c r="B484" i="39"/>
  <c r="B859" i="39"/>
  <c r="C857" i="39"/>
  <c r="B21" i="32"/>
  <c r="B235" i="38"/>
  <c r="C22" i="42"/>
  <c r="B728" i="32"/>
  <c r="B106" i="36"/>
  <c r="B324" i="41"/>
  <c r="B64" i="34"/>
  <c r="B523" i="32"/>
  <c r="C336" i="34"/>
  <c r="B1633" i="33"/>
  <c r="F181" i="36"/>
  <c r="B1279" i="33"/>
  <c r="B23" i="40"/>
  <c r="B336" i="40"/>
  <c r="B1152" i="33"/>
  <c r="F86" i="40"/>
  <c r="B539" i="33"/>
  <c r="F945" i="32"/>
  <c r="F422" i="32"/>
  <c r="B360" i="36"/>
  <c r="B610" i="34"/>
  <c r="F186" i="40"/>
  <c r="B257" i="41"/>
  <c r="F775" i="32"/>
  <c r="B48" i="40"/>
  <c r="B431" i="36"/>
  <c r="B954" i="33"/>
  <c r="B181" i="36"/>
  <c r="B196" i="36"/>
  <c r="B501" i="32"/>
  <c r="B167" i="34"/>
  <c r="B31" i="34"/>
  <c r="B506" i="34"/>
  <c r="J283" i="41"/>
  <c r="B35" i="40"/>
  <c r="B84" i="33"/>
  <c r="F518" i="32"/>
  <c r="B437" i="37"/>
  <c r="B683" i="34"/>
  <c r="B209" i="36"/>
  <c r="B931" i="32"/>
  <c r="B636" i="32"/>
  <c r="B31" i="38"/>
  <c r="B219" i="32"/>
  <c r="C1174" i="33"/>
  <c r="B216" i="39"/>
  <c r="B215" i="39"/>
  <c r="B124" i="32"/>
  <c r="B673" i="34"/>
  <c r="B820" i="39"/>
  <c r="B299" i="39"/>
  <c r="F759" i="37"/>
  <c r="B464" i="34"/>
  <c r="B120" i="37"/>
  <c r="B234" i="46"/>
  <c r="B375" i="41"/>
  <c r="B660" i="34"/>
  <c r="B95" i="32"/>
  <c r="B456" i="36"/>
  <c r="B83" i="41"/>
  <c r="F346" i="38"/>
  <c r="B173" i="37"/>
  <c r="C436" i="34"/>
  <c r="B97" i="41"/>
  <c r="B308" i="39"/>
  <c r="B957" i="39"/>
  <c r="C373" i="36"/>
  <c r="B232" i="32"/>
  <c r="B186" i="37"/>
  <c r="B50" i="34"/>
  <c r="B56" i="46"/>
  <c r="B447" i="34"/>
  <c r="B564" i="32"/>
  <c r="B138" i="32"/>
  <c r="B808" i="37"/>
  <c r="B48" i="36"/>
  <c r="F123" i="32"/>
  <c r="F326" i="38"/>
  <c r="J481" i="32"/>
  <c r="B421" i="36"/>
  <c r="D11" i="41"/>
  <c r="B1035" i="39"/>
  <c r="B75" i="38"/>
  <c r="B482" i="39"/>
  <c r="B857" i="39"/>
  <c r="B273" i="36"/>
  <c r="B19" i="32"/>
  <c r="B24" i="42"/>
  <c r="B21" i="42"/>
  <c r="B451" i="37"/>
  <c r="B105" i="36"/>
  <c r="B67" i="34"/>
  <c r="B518" i="32"/>
  <c r="B333" i="34"/>
  <c r="B1636" i="33"/>
  <c r="B1278" i="33"/>
  <c r="B21" i="40"/>
  <c r="B1537" i="33"/>
  <c r="B1357" i="33"/>
  <c r="B541" i="33"/>
  <c r="B323" i="38"/>
  <c r="F948" i="32"/>
  <c r="B630" i="34"/>
  <c r="B267" i="41"/>
  <c r="B337" i="41"/>
  <c r="B162" i="42"/>
  <c r="B212" i="34"/>
  <c r="F18" i="37"/>
  <c r="B443" i="36"/>
  <c r="B202" i="33"/>
  <c r="B891" i="39"/>
  <c r="B210" i="33"/>
  <c r="B643" i="34"/>
  <c r="F433" i="37"/>
  <c r="B492" i="34"/>
  <c r="B292" i="38"/>
  <c r="C291" i="38"/>
  <c r="B69" i="32"/>
  <c r="F312" i="38"/>
  <c r="F268" i="41"/>
  <c r="F435" i="32"/>
  <c r="G436" i="32"/>
  <c r="B67" i="41"/>
  <c r="J149" i="32"/>
  <c r="B607" i="34"/>
  <c r="A829" i="32"/>
  <c r="B252" i="41"/>
  <c r="B473" i="36"/>
  <c r="B52" i="40"/>
  <c r="B62" i="37"/>
  <c r="B952" i="33"/>
  <c r="B555" i="34"/>
  <c r="B194" i="36"/>
  <c r="B752" i="39"/>
  <c r="B163" i="34"/>
  <c r="B33" i="34"/>
  <c r="B504" i="34"/>
  <c r="J281" i="41"/>
  <c r="B32" i="40"/>
  <c r="B88" i="33"/>
  <c r="F521" i="32"/>
  <c r="B389" i="41"/>
  <c r="B682" i="34"/>
  <c r="B57" i="38"/>
  <c r="B569" i="37"/>
  <c r="B640" i="32"/>
  <c r="A844" i="32"/>
  <c r="B1175" i="33"/>
  <c r="B1123" i="33"/>
  <c r="B214" i="39"/>
  <c r="B760" i="32"/>
  <c r="B121" i="32"/>
  <c r="B672" i="34"/>
  <c r="B822" i="39"/>
  <c r="B296" i="39"/>
  <c r="B295" i="39"/>
  <c r="G763" i="37"/>
  <c r="B1010" i="39"/>
  <c r="B122" i="37"/>
  <c r="F205" i="37"/>
  <c r="B371" i="41"/>
  <c r="B655" i="34"/>
  <c r="B97" i="32"/>
  <c r="B459" i="36"/>
  <c r="C80" i="41"/>
  <c r="F342" i="38"/>
  <c r="B437" i="34"/>
  <c r="B434" i="34"/>
  <c r="B93" i="41"/>
  <c r="B313" i="39"/>
  <c r="B954" i="39"/>
  <c r="C376" i="36"/>
  <c r="B234" i="32"/>
  <c r="B1526" i="33"/>
  <c r="B48" i="34"/>
  <c r="B1478" i="33"/>
  <c r="B448" i="34"/>
  <c r="B1161" i="33"/>
  <c r="B135" i="32"/>
  <c r="B746" i="32"/>
  <c r="C812" i="37"/>
  <c r="B46" i="36"/>
  <c r="F122" i="32"/>
  <c r="F325" i="38"/>
  <c r="J482" i="32"/>
  <c r="F119" i="34"/>
  <c r="B1039" i="39"/>
  <c r="B74" i="38"/>
  <c r="B76" i="33"/>
  <c r="B856" i="39"/>
  <c r="B278" i="36"/>
  <c r="B231" i="38"/>
  <c r="B19" i="42"/>
  <c r="B20" i="42"/>
  <c r="B730" i="32"/>
  <c r="B448" i="37"/>
  <c r="B107" i="36"/>
  <c r="B65" i="34"/>
  <c r="C332" i="34"/>
  <c r="C333" i="34"/>
  <c r="F179" i="36"/>
  <c r="B1274" i="33"/>
  <c r="B334" i="40"/>
  <c r="B1149" i="33"/>
  <c r="F85" i="40"/>
  <c r="B540" i="33"/>
  <c r="B327" i="38"/>
  <c r="F423" i="32"/>
  <c r="B633" i="34"/>
  <c r="C335" i="41"/>
  <c r="C339" i="41"/>
  <c r="B164" i="42"/>
  <c r="B515" i="36"/>
  <c r="F19" i="37"/>
  <c r="B552" i="32"/>
  <c r="B155" i="38"/>
  <c r="B895" i="39"/>
  <c r="C211" i="33"/>
  <c r="B646" i="34"/>
  <c r="F436" i="37"/>
  <c r="B1602" i="33"/>
  <c r="B291" i="38"/>
  <c r="B294" i="38"/>
  <c r="B1350" i="33"/>
  <c r="G266" i="41"/>
  <c r="F438" i="32"/>
  <c r="G435" i="32"/>
  <c r="B727" i="37"/>
  <c r="B594" i="32"/>
  <c r="B787" i="32"/>
  <c r="C879" i="32"/>
  <c r="J152" i="32"/>
  <c r="B254" i="41"/>
  <c r="B434" i="36"/>
  <c r="B559" i="34"/>
  <c r="B166" i="34"/>
  <c r="J280" i="41"/>
  <c r="B791" i="39"/>
  <c r="B932" i="32"/>
  <c r="B222" i="32"/>
  <c r="C217" i="39"/>
  <c r="B670" i="34"/>
  <c r="C297" i="39"/>
  <c r="G761" i="37"/>
  <c r="F410" i="37"/>
  <c r="B461" i="36"/>
  <c r="B169" i="37"/>
  <c r="B312" i="39"/>
  <c r="B373" i="36"/>
  <c r="B47" i="34"/>
  <c r="B566" i="32"/>
  <c r="B745" i="32"/>
  <c r="F120" i="32"/>
  <c r="B417" i="36"/>
  <c r="B1038" i="39"/>
  <c r="B860" i="39"/>
  <c r="B232" i="38"/>
  <c r="B729" i="32"/>
  <c r="C334" i="34"/>
  <c r="B1275" i="33"/>
  <c r="B338" i="40"/>
  <c r="B322" i="38"/>
  <c r="B339" i="41"/>
  <c r="B209" i="34"/>
  <c r="F16" i="37"/>
  <c r="B548" i="32"/>
  <c r="C214" i="33"/>
  <c r="B647" i="34"/>
  <c r="B487" i="34"/>
  <c r="C294" i="38"/>
  <c r="F309" i="38"/>
  <c r="F269" i="41"/>
  <c r="F437" i="32"/>
  <c r="B724" i="37"/>
  <c r="B792" i="32"/>
  <c r="B875" i="32"/>
  <c r="B506" i="39"/>
  <c r="B459" i="38"/>
  <c r="B81" i="36"/>
  <c r="B406" i="37"/>
  <c r="B18" i="38"/>
  <c r="B435" i="32"/>
  <c r="B249" i="42"/>
  <c r="G209" i="42"/>
  <c r="B137" i="37"/>
  <c r="B138" i="37"/>
  <c r="B651" i="37"/>
  <c r="B692" i="39"/>
  <c r="B372" i="34"/>
  <c r="B480" i="32"/>
  <c r="B231" i="40"/>
  <c r="B1713" i="33"/>
  <c r="B1444" i="33"/>
  <c r="B282" i="38"/>
  <c r="B398" i="38"/>
  <c r="F83" i="34"/>
  <c r="F285" i="40"/>
  <c r="B462" i="32"/>
  <c r="B338" i="37"/>
  <c r="B570" i="34"/>
  <c r="B1458" i="33"/>
  <c r="B106" i="32"/>
  <c r="F473" i="34"/>
  <c r="B322" i="39"/>
  <c r="B1734" i="33"/>
  <c r="J250" i="40"/>
  <c r="J121" i="34"/>
  <c r="B475" i="34"/>
  <c r="B138" i="36"/>
  <c r="B194" i="34"/>
  <c r="F378" i="38"/>
  <c r="K522" i="32"/>
  <c r="B288" i="46"/>
  <c r="B1699" i="33"/>
  <c r="B19" i="34"/>
  <c r="B1023" i="39"/>
  <c r="N636" i="32"/>
  <c r="B205" i="32"/>
  <c r="G337" i="40"/>
  <c r="F338" i="40"/>
  <c r="B989" i="33"/>
  <c r="B41" i="42"/>
  <c r="J636" i="32"/>
  <c r="B545" i="34"/>
  <c r="B775" i="32"/>
  <c r="J46" i="34"/>
  <c r="B1192" i="33"/>
  <c r="B893" i="32"/>
  <c r="G700" i="32"/>
  <c r="B151" i="40"/>
  <c r="B187" i="39"/>
  <c r="F584" i="34"/>
  <c r="B137" i="40"/>
  <c r="F50" i="34"/>
  <c r="C84" i="32"/>
  <c r="B609" i="34"/>
  <c r="F776" i="32"/>
  <c r="B64" i="37"/>
  <c r="B197" i="36"/>
  <c r="B30" i="34"/>
  <c r="B87" i="40"/>
  <c r="F520" i="32"/>
  <c r="B686" i="34"/>
  <c r="B637" i="32"/>
  <c r="C1177" i="33"/>
  <c r="C215" i="39"/>
  <c r="B442" i="38"/>
  <c r="C296" i="39"/>
  <c r="B459" i="34"/>
  <c r="F201" i="37"/>
  <c r="B656" i="34"/>
  <c r="C79" i="41"/>
  <c r="B438" i="34"/>
  <c r="B310" i="39"/>
  <c r="B230" i="32"/>
  <c r="B51" i="46"/>
  <c r="B1163" i="33"/>
  <c r="B810" i="37"/>
  <c r="K166" i="42"/>
  <c r="B422" i="36"/>
  <c r="B76" i="38"/>
  <c r="B274" i="36"/>
  <c r="B22" i="42"/>
  <c r="B450" i="37"/>
  <c r="B63" i="34"/>
  <c r="B334" i="34"/>
  <c r="B1151" i="33"/>
  <c r="B325" i="38"/>
  <c r="B632" i="34"/>
  <c r="B338" i="41"/>
  <c r="B211" i="34"/>
  <c r="F20" i="37"/>
  <c r="B203" i="33"/>
  <c r="B214" i="33"/>
  <c r="F438" i="37"/>
  <c r="B1604" i="33"/>
  <c r="C290" i="38"/>
  <c r="F310" i="38"/>
  <c r="F270" i="41"/>
  <c r="B65" i="41"/>
  <c r="B590" i="32"/>
  <c r="C876" i="32"/>
  <c r="B878" i="32"/>
  <c r="B17" i="36"/>
  <c r="B458" i="38"/>
  <c r="B82" i="36"/>
  <c r="A814" i="32"/>
  <c r="B710" i="37"/>
  <c r="B434" i="32"/>
  <c r="B252" i="42"/>
  <c r="G210" i="42"/>
  <c r="C137" i="37"/>
  <c r="C650" i="37"/>
  <c r="B648" i="37"/>
  <c r="B1685" i="33"/>
  <c r="B373" i="34"/>
  <c r="B483" i="32"/>
  <c r="J173" i="37"/>
  <c r="B1716" i="33"/>
  <c r="B1446" i="33"/>
  <c r="C283" i="38"/>
  <c r="B400" i="38"/>
  <c r="F282" i="40"/>
  <c r="G283" i="40"/>
  <c r="B26" i="46"/>
  <c r="B340" i="37"/>
  <c r="B568" i="34"/>
  <c r="B207" i="42"/>
  <c r="B110" i="32"/>
  <c r="F474" i="34"/>
  <c r="B972" i="39"/>
  <c r="B1735" i="33"/>
  <c r="J249" i="40"/>
  <c r="B229" i="33"/>
  <c r="F185" i="40"/>
  <c r="F774" i="32"/>
  <c r="B951" i="33"/>
  <c r="B505" i="32"/>
  <c r="B34" i="34"/>
  <c r="B84" i="40"/>
  <c r="B436" i="37"/>
  <c r="B685" i="34"/>
  <c r="B638" i="32"/>
  <c r="B1174" i="33"/>
  <c r="B756" i="32"/>
  <c r="B440" i="38"/>
  <c r="B460" i="34"/>
  <c r="B233" i="46"/>
  <c r="B96" i="32"/>
  <c r="B80" i="41"/>
  <c r="B433" i="34"/>
  <c r="B216" i="37"/>
  <c r="B235" i="32"/>
  <c r="B53" i="46"/>
  <c r="B134" i="32"/>
  <c r="C810" i="37"/>
  <c r="K163" i="42"/>
  <c r="F121" i="34"/>
  <c r="B73" i="38"/>
  <c r="B277" i="36"/>
  <c r="B23" i="42"/>
  <c r="B447" i="37"/>
  <c r="B66" i="34"/>
  <c r="B1634" i="33"/>
  <c r="B1153" i="33"/>
  <c r="F946" i="32"/>
  <c r="B631" i="34"/>
  <c r="C338" i="41"/>
  <c r="B511" i="36"/>
  <c r="F21" i="37"/>
  <c r="B152" i="38"/>
  <c r="C215" i="33"/>
  <c r="F435" i="37"/>
  <c r="B1605" i="33"/>
  <c r="B67" i="32"/>
  <c r="F307" i="38"/>
  <c r="F266" i="41"/>
  <c r="G437" i="32"/>
  <c r="B63" i="41"/>
  <c r="B593" i="32"/>
  <c r="C878" i="32"/>
  <c r="B874" i="32"/>
  <c r="B18" i="36"/>
  <c r="B456" i="38"/>
  <c r="B85" i="36"/>
  <c r="B17" i="38"/>
  <c r="B709" i="37"/>
  <c r="B436" i="32"/>
  <c r="F209" i="42"/>
  <c r="F210" i="42"/>
  <c r="B133" i="37"/>
  <c r="C647" i="37"/>
  <c r="C651" i="37"/>
  <c r="B1682" i="33"/>
  <c r="B374" i="34"/>
  <c r="B478" i="32"/>
  <c r="J171" i="37"/>
  <c r="B1717" i="33"/>
  <c r="B1442" i="33"/>
  <c r="B285" i="38"/>
  <c r="F80" i="34"/>
  <c r="G281" i="40"/>
  <c r="F283" i="40"/>
  <c r="B21" i="46"/>
  <c r="B339" i="37"/>
  <c r="B571" i="34"/>
  <c r="B209" i="42"/>
  <c r="B111" i="32"/>
  <c r="F475" i="34"/>
  <c r="F184" i="40"/>
  <c r="B470" i="36"/>
  <c r="B950" i="33"/>
  <c r="B506" i="32"/>
  <c r="B701" i="32"/>
  <c r="B36" i="40"/>
  <c r="B433" i="37"/>
  <c r="B207" i="36"/>
  <c r="B641" i="32"/>
  <c r="B1176" i="33"/>
  <c r="B120" i="32"/>
  <c r="B823" i="39"/>
  <c r="B1009" i="39"/>
  <c r="B94" i="32"/>
  <c r="B82" i="41"/>
  <c r="B435" i="34"/>
  <c r="B212" i="37"/>
  <c r="B185" i="37"/>
  <c r="B1475" i="33"/>
  <c r="B139" i="32"/>
  <c r="C808" i="37"/>
  <c r="F323" i="38"/>
  <c r="F117" i="34"/>
  <c r="B485" i="39"/>
  <c r="B275" i="36"/>
  <c r="C23" i="42"/>
  <c r="B108" i="36"/>
  <c r="B62" i="34"/>
  <c r="B1635" i="33"/>
  <c r="B20" i="40"/>
  <c r="B1358" i="33"/>
  <c r="F949" i="32"/>
  <c r="B270" i="41"/>
  <c r="B163" i="42"/>
  <c r="B510" i="36"/>
  <c r="B446" i="36"/>
  <c r="B156" i="38"/>
  <c r="B212" i="33"/>
  <c r="B488" i="34"/>
  <c r="B1603" i="33"/>
  <c r="B68" i="32"/>
  <c r="F311" i="38"/>
  <c r="F267" i="41"/>
  <c r="F434" i="32"/>
  <c r="B66" i="41"/>
  <c r="B592" i="32"/>
  <c r="B876" i="32"/>
  <c r="B503" i="39"/>
  <c r="B21" i="36"/>
  <c r="B455" i="38"/>
  <c r="B409" i="37"/>
  <c r="B19" i="38"/>
  <c r="B707" i="37"/>
  <c r="B439" i="32"/>
  <c r="F208" i="42"/>
  <c r="G207" i="42"/>
  <c r="C134" i="37"/>
  <c r="B649" i="37"/>
  <c r="B687" i="39"/>
  <c r="B1684" i="33"/>
  <c r="B375" i="34"/>
  <c r="B235" i="40"/>
  <c r="J168" i="37"/>
  <c r="B1712" i="33"/>
  <c r="B284" i="38"/>
  <c r="C286" i="38"/>
  <c r="F82" i="34"/>
  <c r="G282" i="40"/>
  <c r="B464" i="32"/>
  <c r="B25" i="46"/>
  <c r="B335" i="37"/>
  <c r="B1462" i="33"/>
  <c r="B211" i="42"/>
  <c r="B107" i="32"/>
  <c r="B321" i="39"/>
  <c r="B976" i="39"/>
  <c r="B1732" i="33"/>
  <c r="J116" i="34"/>
  <c r="B228" i="33"/>
  <c r="B474" i="34"/>
  <c r="B193" i="34"/>
  <c r="K521" i="32"/>
  <c r="J523" i="32"/>
  <c r="B1697" i="33"/>
  <c r="B17" i="34"/>
  <c r="B359" i="36"/>
  <c r="F181" i="40"/>
  <c r="B472" i="36"/>
  <c r="B179" i="36"/>
  <c r="B504" i="32"/>
  <c r="B698" i="32"/>
  <c r="B85" i="33"/>
  <c r="B438" i="37"/>
  <c r="B208" i="36"/>
  <c r="B28" i="38"/>
  <c r="B1173" i="33"/>
  <c r="B122" i="32"/>
  <c r="B121" i="37"/>
  <c r="B372" i="41"/>
  <c r="B92" i="32"/>
  <c r="F345" i="38"/>
  <c r="B1833" i="33"/>
  <c r="B959" i="39"/>
  <c r="B188" i="37"/>
  <c r="B450" i="34"/>
  <c r="B136" i="32"/>
  <c r="B809" i="37"/>
  <c r="J483" i="32"/>
  <c r="B487" i="39"/>
  <c r="B23" i="32"/>
  <c r="C20" i="42"/>
  <c r="B109" i="36"/>
  <c r="B519" i="32"/>
  <c r="B1632" i="33"/>
  <c r="B22" i="40"/>
  <c r="F82" i="40"/>
  <c r="F947" i="32"/>
  <c r="B269" i="41"/>
  <c r="B166" i="42"/>
  <c r="B514" i="36"/>
  <c r="B448" i="36"/>
  <c r="B153" i="38"/>
  <c r="B215" i="33"/>
  <c r="B489" i="34"/>
  <c r="B293" i="38"/>
  <c r="B362" i="36"/>
  <c r="B98" i="40"/>
  <c r="B53" i="40"/>
  <c r="B183" i="36"/>
  <c r="B754" i="39"/>
  <c r="B505" i="34"/>
  <c r="B87" i="33"/>
  <c r="B387" i="41"/>
  <c r="B210" i="36"/>
  <c r="B30" i="38"/>
  <c r="B1121" i="33"/>
  <c r="B123" i="32"/>
  <c r="F760" i="37"/>
  <c r="B123" i="37"/>
  <c r="B373" i="41"/>
  <c r="F284" i="34"/>
  <c r="F343" i="38"/>
  <c r="B1832" i="33"/>
  <c r="C374" i="36"/>
  <c r="B1524" i="33"/>
  <c r="B446" i="34"/>
  <c r="B44" i="36"/>
  <c r="J479" i="32"/>
  <c r="B75" i="33"/>
  <c r="B18" i="32"/>
  <c r="B110" i="36"/>
  <c r="B521" i="32"/>
  <c r="F183" i="36"/>
  <c r="B19" i="40"/>
  <c r="F87" i="40"/>
  <c r="F424" i="32"/>
  <c r="B266" i="41"/>
  <c r="B161" i="42"/>
  <c r="B445" i="36"/>
  <c r="B892" i="39"/>
  <c r="C212" i="33"/>
  <c r="B490" i="34"/>
  <c r="B289" i="38"/>
  <c r="B66" i="32"/>
  <c r="G269" i="41"/>
  <c r="G438" i="32"/>
  <c r="B726" i="37"/>
  <c r="B789" i="32"/>
  <c r="C877" i="32"/>
  <c r="B504" i="39"/>
  <c r="B16" i="36"/>
  <c r="B80" i="36"/>
  <c r="B408" i="37"/>
  <c r="B15" i="38"/>
  <c r="B708" i="37"/>
  <c r="B250" i="42"/>
  <c r="F206" i="42"/>
  <c r="B134" i="37"/>
  <c r="C138" i="37"/>
  <c r="C649" i="37"/>
  <c r="B688" i="39"/>
  <c r="B1683" i="33"/>
  <c r="B482" i="32"/>
  <c r="B232" i="40"/>
  <c r="J170" i="37"/>
  <c r="B1445" i="33"/>
  <c r="C285" i="38"/>
  <c r="B281" i="38"/>
  <c r="B395" i="38"/>
  <c r="F84" i="34"/>
  <c r="F280" i="40"/>
  <c r="B465" i="32"/>
  <c r="B22" i="46"/>
  <c r="B572" i="34"/>
  <c r="B1459" i="33"/>
  <c r="B206" i="42"/>
  <c r="F472" i="34"/>
  <c r="B324" i="39"/>
  <c r="B974" i="39"/>
  <c r="J251" i="40"/>
  <c r="J120" i="34"/>
  <c r="B230" i="33"/>
  <c r="B135" i="36"/>
  <c r="B195" i="34"/>
  <c r="F381" i="38"/>
  <c r="K520" i="32"/>
  <c r="B287" i="46"/>
  <c r="B1696" i="33"/>
  <c r="N637" i="32"/>
  <c r="N638" i="32"/>
  <c r="F337" i="40"/>
  <c r="G336" i="40"/>
  <c r="B1648" i="33"/>
  <c r="B42" i="42"/>
  <c r="C42" i="42"/>
  <c r="B184" i="38"/>
  <c r="B543" i="34"/>
  <c r="B773" i="32"/>
  <c r="J47" i="34"/>
  <c r="B1188" i="33"/>
  <c r="B135" i="34"/>
  <c r="G697" i="32"/>
  <c r="F699" i="32"/>
  <c r="B184" i="39"/>
  <c r="F581" i="34"/>
  <c r="J373" i="34"/>
  <c r="F51" i="34"/>
  <c r="C80" i="32"/>
  <c r="B84" i="32"/>
  <c r="J773" i="32"/>
  <c r="B371" i="37"/>
  <c r="B189" i="42"/>
  <c r="C709" i="34"/>
  <c r="B239" i="36"/>
  <c r="F300" i="34"/>
  <c r="F63" i="40"/>
  <c r="F772" i="32"/>
  <c r="J278" i="41"/>
  <c r="B217" i="32"/>
  <c r="B463" i="34"/>
  <c r="C437" i="34"/>
  <c r="B565" i="32"/>
  <c r="B72" i="38"/>
  <c r="B324" i="38"/>
  <c r="F17" i="37"/>
  <c r="B1601" i="33"/>
  <c r="B729" i="37"/>
  <c r="B502" i="39"/>
  <c r="B83" i="36"/>
  <c r="B438" i="32"/>
  <c r="G208" i="42"/>
  <c r="B650" i="37"/>
  <c r="B479" i="32"/>
  <c r="B1714" i="33"/>
  <c r="G284" i="40"/>
  <c r="B337" i="37"/>
  <c r="B108" i="32"/>
  <c r="B973" i="39"/>
  <c r="J118" i="34"/>
  <c r="B476" i="34"/>
  <c r="B197" i="34"/>
  <c r="F380" i="38"/>
  <c r="J519" i="32"/>
  <c r="B1701" i="33"/>
  <c r="B18" i="34"/>
  <c r="B1022" i="39"/>
  <c r="O638" i="32"/>
  <c r="G338" i="40"/>
  <c r="B1649" i="33"/>
  <c r="B44" i="42"/>
  <c r="J641" i="32"/>
  <c r="B541" i="34"/>
  <c r="H312" i="40"/>
  <c r="B1191" i="33"/>
  <c r="B889" i="32"/>
  <c r="F698" i="32"/>
  <c r="B182" i="39"/>
  <c r="J371" i="34"/>
  <c r="B139" i="40"/>
  <c r="B82" i="32"/>
  <c r="B385" i="37"/>
  <c r="B186" i="42"/>
  <c r="B240" i="36"/>
  <c r="F64" i="40"/>
  <c r="B265" i="34"/>
  <c r="B226" i="34"/>
  <c r="B515" i="34"/>
  <c r="C994" i="39"/>
  <c r="K42" i="42"/>
  <c r="B778" i="39"/>
  <c r="B763" i="37"/>
  <c r="B283" i="39"/>
  <c r="B239" i="34"/>
  <c r="B637" i="37"/>
  <c r="C635" i="37"/>
  <c r="J522" i="32"/>
  <c r="B132" i="34"/>
  <c r="J372" i="34"/>
  <c r="J771" i="32"/>
  <c r="C711" i="34"/>
  <c r="F66" i="40"/>
  <c r="F267" i="34"/>
  <c r="B1238" i="33"/>
  <c r="B584" i="34"/>
  <c r="J946" i="32"/>
  <c r="B623" i="32"/>
  <c r="B435" i="36"/>
  <c r="B83" i="33"/>
  <c r="C218" i="39"/>
  <c r="B94" i="41"/>
  <c r="C856" i="39"/>
  <c r="B332" i="34"/>
  <c r="F421" i="32"/>
  <c r="B549" i="32"/>
  <c r="C293" i="38"/>
  <c r="G270" i="41"/>
  <c r="B595" i="32"/>
  <c r="B505" i="39"/>
  <c r="B410" i="37"/>
  <c r="B437" i="32"/>
  <c r="B136" i="37"/>
  <c r="B689" i="39"/>
  <c r="B481" i="32"/>
  <c r="B1443" i="33"/>
  <c r="B399" i="38"/>
  <c r="F284" i="40"/>
  <c r="B567" i="34"/>
  <c r="B109" i="32"/>
  <c r="B975" i="39"/>
  <c r="J119" i="34"/>
  <c r="B477" i="34"/>
  <c r="F379" i="38"/>
  <c r="J518" i="32"/>
  <c r="B1698" i="33"/>
  <c r="B20" i="34"/>
  <c r="N639" i="32"/>
  <c r="B204" i="32"/>
  <c r="G335" i="40"/>
  <c r="B1650" i="33"/>
  <c r="C44" i="42"/>
  <c r="J638" i="32"/>
  <c r="A859" i="32"/>
  <c r="J51" i="34"/>
  <c r="B131" i="34"/>
  <c r="B890" i="32"/>
  <c r="G698" i="32"/>
  <c r="B183" i="39"/>
  <c r="J374" i="34"/>
  <c r="B141" i="40"/>
  <c r="C83" i="32"/>
  <c r="B65" i="46"/>
  <c r="J775" i="32"/>
  <c r="B386" i="37"/>
  <c r="B188" i="42"/>
  <c r="B709" i="34"/>
  <c r="B241" i="36"/>
  <c r="B247" i="34"/>
  <c r="F62" i="40"/>
  <c r="B270" i="34"/>
  <c r="G268" i="40"/>
  <c r="B223" i="34"/>
  <c r="F266" i="34"/>
  <c r="B518" i="34"/>
  <c r="F174" i="32"/>
  <c r="B993" i="39"/>
  <c r="B1237" i="33"/>
  <c r="K46" i="42"/>
  <c r="F85" i="42"/>
  <c r="B782" i="39"/>
  <c r="B581" i="34"/>
  <c r="B762" i="37"/>
  <c r="C53" i="32"/>
  <c r="C283" i="39"/>
  <c r="J950" i="32"/>
  <c r="B240" i="34"/>
  <c r="C662" i="37"/>
  <c r="B636" i="37"/>
  <c r="C636" i="37"/>
  <c r="C622" i="32"/>
  <c r="B793" i="39"/>
  <c r="B791" i="32"/>
  <c r="B405" i="37"/>
  <c r="B135" i="37"/>
  <c r="B234" i="40"/>
  <c r="B397" i="38"/>
  <c r="B569" i="34"/>
  <c r="B1733" i="33"/>
  <c r="J117" i="34"/>
  <c r="O639" i="32"/>
  <c r="F336" i="40"/>
  <c r="B992" i="33"/>
  <c r="J50" i="34"/>
  <c r="F701" i="32"/>
  <c r="B185" i="39"/>
  <c r="B64" i="46"/>
  <c r="B250" i="34"/>
  <c r="F267" i="40"/>
  <c r="F176" i="32"/>
  <c r="F247" i="40"/>
  <c r="C52" i="32"/>
  <c r="B664" i="37"/>
  <c r="B432" i="36"/>
  <c r="C216" i="39"/>
  <c r="B311" i="39"/>
  <c r="B807" i="37"/>
  <c r="C858" i="39"/>
  <c r="B336" i="34"/>
  <c r="B634" i="34"/>
  <c r="B547" i="32"/>
  <c r="B290" i="38"/>
  <c r="G267" i="41"/>
  <c r="B507" i="39"/>
  <c r="B251" i="42"/>
  <c r="B691" i="39"/>
  <c r="B1447" i="33"/>
  <c r="B467" i="32"/>
  <c r="F476" i="34"/>
  <c r="B136" i="36"/>
  <c r="F383" i="38"/>
  <c r="B209" i="32"/>
  <c r="C46" i="42"/>
  <c r="F289" i="41"/>
  <c r="C82" i="32"/>
  <c r="B185" i="42"/>
  <c r="G266" i="40"/>
  <c r="B519" i="34"/>
  <c r="J44" i="42"/>
  <c r="C51" i="32"/>
  <c r="B633" i="37"/>
  <c r="B180" i="36"/>
  <c r="B386" i="41"/>
  <c r="B668" i="34"/>
  <c r="B374" i="41"/>
  <c r="B376" i="36"/>
  <c r="F124" i="32"/>
  <c r="B22" i="32"/>
  <c r="F182" i="36"/>
  <c r="B268" i="41"/>
  <c r="B894" i="39"/>
  <c r="B71" i="32"/>
  <c r="F265" i="41"/>
  <c r="B788" i="32"/>
  <c r="B20" i="36"/>
  <c r="B407" i="37"/>
  <c r="B248" i="42"/>
  <c r="C135" i="37"/>
  <c r="B690" i="39"/>
  <c r="B233" i="40"/>
  <c r="B286" i="38"/>
  <c r="B396" i="38"/>
  <c r="B466" i="32"/>
  <c r="B1463" i="33"/>
  <c r="F477" i="34"/>
  <c r="B1737" i="33"/>
  <c r="B232" i="33"/>
  <c r="B134" i="36"/>
  <c r="F382" i="38"/>
  <c r="B289" i="46"/>
  <c r="O640" i="32"/>
  <c r="B206" i="32"/>
  <c r="F335" i="40"/>
  <c r="B990" i="33"/>
  <c r="B43" i="42"/>
  <c r="B182" i="38"/>
  <c r="J639" i="32"/>
  <c r="D287" i="41"/>
  <c r="J48" i="34"/>
  <c r="B134" i="34"/>
  <c r="F697" i="32"/>
  <c r="B153" i="40"/>
  <c r="B186" i="39"/>
  <c r="J375" i="34"/>
  <c r="F48" i="34"/>
  <c r="C81" i="32"/>
  <c r="B68" i="46"/>
  <c r="J774" i="32"/>
  <c r="B369" i="37"/>
  <c r="B184" i="42"/>
  <c r="B708" i="34"/>
  <c r="F302" i="34"/>
  <c r="B249" i="34"/>
  <c r="G267" i="40"/>
  <c r="F264" i="40"/>
  <c r="B803" i="32"/>
  <c r="F265" i="34"/>
  <c r="B517" i="34"/>
  <c r="C996" i="39"/>
  <c r="B995" i="39"/>
  <c r="B1235" i="33"/>
  <c r="J41" i="42"/>
  <c r="B246" i="40"/>
  <c r="F251" i="40"/>
  <c r="B780" i="39"/>
  <c r="B585" i="34"/>
  <c r="B54" i="32"/>
  <c r="C54" i="32"/>
  <c r="B281" i="39"/>
  <c r="J947" i="32"/>
  <c r="B242" i="34"/>
  <c r="B662" i="37"/>
  <c r="C633" i="37"/>
  <c r="C623" i="32"/>
  <c r="C624" i="32"/>
  <c r="J772" i="32"/>
  <c r="F301" i="34"/>
  <c r="F263" i="40"/>
  <c r="B801" i="32"/>
  <c r="B516" i="34"/>
  <c r="C997" i="39"/>
  <c r="K44" i="42"/>
  <c r="B247" i="40"/>
  <c r="B777" i="39"/>
  <c r="B55" i="32"/>
  <c r="C55" i="32"/>
  <c r="J948" i="32"/>
  <c r="B665" i="37"/>
  <c r="C634" i="37"/>
  <c r="B621" i="32"/>
  <c r="K519" i="32"/>
  <c r="F700" i="32"/>
  <c r="B136" i="40"/>
  <c r="B383" i="37"/>
  <c r="F65" i="40"/>
  <c r="F268" i="40"/>
  <c r="F270" i="34"/>
  <c r="B1234" i="33"/>
  <c r="B249" i="40"/>
  <c r="B583" i="34"/>
  <c r="B282" i="39"/>
  <c r="C665" i="37"/>
  <c r="C625" i="32"/>
  <c r="B193" i="36"/>
  <c r="B40" i="38"/>
  <c r="B671" i="34"/>
  <c r="F409" i="37"/>
  <c r="B374" i="36"/>
  <c r="F125" i="32"/>
  <c r="B234" i="38"/>
  <c r="B335" i="41"/>
  <c r="B213" i="33"/>
  <c r="B70" i="32"/>
  <c r="G439" i="32"/>
  <c r="B790" i="32"/>
  <c r="B19" i="36"/>
  <c r="B16" i="38"/>
  <c r="B253" i="42"/>
  <c r="C136" i="37"/>
  <c r="B1680" i="33"/>
  <c r="B230" i="40"/>
  <c r="B283" i="38"/>
  <c r="F85" i="34"/>
  <c r="B463" i="32"/>
  <c r="B1460" i="33"/>
  <c r="B323" i="39"/>
  <c r="B1736" i="33"/>
  <c r="B233" i="33"/>
  <c r="B137" i="36"/>
  <c r="K523" i="32"/>
  <c r="B286" i="46"/>
  <c r="B1021" i="39"/>
  <c r="O637" i="32"/>
  <c r="B208" i="32"/>
  <c r="F333" i="40"/>
  <c r="B991" i="33"/>
  <c r="C45" i="42"/>
  <c r="B185" i="38"/>
  <c r="J637" i="32"/>
  <c r="B774" i="32"/>
  <c r="J49" i="34"/>
  <c r="B136" i="34"/>
  <c r="F696" i="32"/>
  <c r="B149" i="40"/>
  <c r="F580" i="34"/>
  <c r="J376" i="34"/>
  <c r="F47" i="34"/>
  <c r="B81" i="32"/>
  <c r="B370" i="37"/>
  <c r="B712" i="34"/>
  <c r="B711" i="34"/>
  <c r="B251" i="34"/>
  <c r="B267" i="34"/>
  <c r="F265" i="40"/>
  <c r="F268" i="34"/>
  <c r="B997" i="39"/>
  <c r="K43" i="42"/>
  <c r="F249" i="40"/>
  <c r="B759" i="37"/>
  <c r="B286" i="39"/>
  <c r="B661" i="37"/>
  <c r="C621" i="32"/>
  <c r="B186" i="38"/>
  <c r="B150" i="40"/>
  <c r="B69" i="46"/>
  <c r="B373" i="37"/>
  <c r="F303" i="34"/>
  <c r="B805" i="32"/>
  <c r="J42" i="42"/>
  <c r="B761" i="37"/>
  <c r="B241" i="34"/>
  <c r="B361" i="36"/>
  <c r="B168" i="34"/>
  <c r="B930" i="32"/>
  <c r="F281" i="34"/>
  <c r="B1525" i="33"/>
  <c r="J480" i="32"/>
  <c r="B337" i="40"/>
  <c r="B165" i="42"/>
  <c r="B645" i="34"/>
  <c r="F308" i="38"/>
  <c r="F436" i="32"/>
  <c r="B879" i="32"/>
  <c r="B457" i="38"/>
  <c r="B20" i="38"/>
  <c r="F207" i="42"/>
  <c r="B646" i="37"/>
  <c r="B1681" i="33"/>
  <c r="J172" i="37"/>
  <c r="C284" i="38"/>
  <c r="F81" i="34"/>
  <c r="B23" i="46"/>
  <c r="B1461" i="33"/>
  <c r="B325" i="39"/>
  <c r="J246" i="40"/>
  <c r="B231" i="33"/>
  <c r="B139" i="36"/>
  <c r="J521" i="32"/>
  <c r="B285" i="46"/>
  <c r="B1024" i="39"/>
  <c r="O641" i="32"/>
  <c r="B207" i="32"/>
  <c r="B1652" i="33"/>
  <c r="B993" i="33"/>
  <c r="C43" i="42"/>
  <c r="B181" i="38"/>
  <c r="B546" i="34"/>
  <c r="B776" i="32"/>
  <c r="B1193" i="33"/>
  <c r="B133" i="34"/>
  <c r="G699" i="32"/>
  <c r="B148" i="40"/>
  <c r="F583" i="34"/>
  <c r="B140" i="40"/>
  <c r="F49" i="34"/>
  <c r="B83" i="32"/>
  <c r="J776" i="32"/>
  <c r="B372" i="37"/>
  <c r="B713" i="34"/>
  <c r="C710" i="34"/>
  <c r="F298" i="34"/>
  <c r="B252" i="34"/>
  <c r="B268" i="34"/>
  <c r="G264" i="40"/>
  <c r="B221" i="34"/>
  <c r="B804" i="32"/>
  <c r="F269" i="34"/>
  <c r="F175" i="32"/>
  <c r="B992" i="39"/>
  <c r="B996" i="39"/>
  <c r="J45" i="42"/>
  <c r="J43" i="42"/>
  <c r="B250" i="40"/>
  <c r="F248" i="40"/>
  <c r="B781" i="39"/>
  <c r="B760" i="37"/>
  <c r="B50" i="32"/>
  <c r="C282" i="39"/>
  <c r="B284" i="39"/>
  <c r="J945" i="32"/>
  <c r="C666" i="37"/>
  <c r="C664" i="37"/>
  <c r="B632" i="37"/>
  <c r="B625" i="32"/>
  <c r="B32" i="34"/>
  <c r="B64" i="41"/>
  <c r="B454" i="38"/>
  <c r="F211" i="42"/>
  <c r="B371" i="34"/>
  <c r="C282" i="38"/>
  <c r="B24" i="46"/>
  <c r="B210" i="42"/>
  <c r="J247" i="40"/>
  <c r="B196" i="34"/>
  <c r="B16" i="34"/>
  <c r="B1025" i="39"/>
  <c r="N640" i="32"/>
  <c r="B1653" i="33"/>
  <c r="B46" i="42"/>
  <c r="B772" i="32"/>
  <c r="B1190" i="33"/>
  <c r="F585" i="34"/>
  <c r="B243" i="36"/>
  <c r="B225" i="34"/>
  <c r="C993" i="39"/>
  <c r="K45" i="42"/>
  <c r="B51" i="32"/>
  <c r="B666" i="37"/>
  <c r="B606" i="34"/>
  <c r="B568" i="37"/>
  <c r="B294" i="39"/>
  <c r="C83" i="41"/>
  <c r="B51" i="34"/>
  <c r="B420" i="36"/>
  <c r="B726" i="32"/>
  <c r="B1536" i="33"/>
  <c r="B210" i="34"/>
  <c r="F434" i="37"/>
  <c r="C875" i="32"/>
  <c r="B711" i="37"/>
  <c r="C648" i="37"/>
  <c r="J169" i="37"/>
  <c r="G285" i="40"/>
  <c r="B326" i="39"/>
  <c r="B472" i="34"/>
  <c r="B284" i="46"/>
  <c r="G334" i="40"/>
  <c r="B994" i="33"/>
  <c r="B542" i="34"/>
  <c r="B892" i="32"/>
  <c r="B80" i="32"/>
  <c r="C712" i="34"/>
  <c r="B269" i="34"/>
  <c r="F171" i="32"/>
  <c r="F246" i="40"/>
  <c r="C285" i="39"/>
  <c r="C637" i="37"/>
  <c r="B100" i="40"/>
  <c r="J279" i="41"/>
  <c r="B48" i="38"/>
  <c r="F763" i="37"/>
  <c r="B172" i="37"/>
  <c r="B449" i="34"/>
  <c r="B1036" i="39"/>
  <c r="B325" i="41"/>
  <c r="B542" i="33"/>
  <c r="B491" i="34"/>
  <c r="B725" i="37"/>
  <c r="B877" i="32"/>
  <c r="B84" i="36"/>
  <c r="B706" i="37"/>
  <c r="G211" i="42"/>
  <c r="B647" i="37"/>
  <c r="B376" i="34"/>
  <c r="B1715" i="33"/>
  <c r="F281" i="40"/>
  <c r="B336" i="37"/>
  <c r="B208" i="42"/>
  <c r="B971" i="39"/>
  <c r="J248" i="40"/>
  <c r="B473" i="34"/>
  <c r="B192" i="34"/>
  <c r="J520" i="32"/>
  <c r="B1700" i="33"/>
  <c r="B21" i="34"/>
  <c r="B1026" i="39"/>
  <c r="N641" i="32"/>
  <c r="F334" i="40"/>
  <c r="B1651" i="33"/>
  <c r="B45" i="42"/>
  <c r="B183" i="38"/>
  <c r="B544" i="34"/>
  <c r="B771" i="32"/>
  <c r="B1189" i="33"/>
  <c r="B888" i="32"/>
  <c r="G701" i="32"/>
  <c r="B152" i="40"/>
  <c r="F582" i="34"/>
  <c r="B138" i="40"/>
  <c r="B79" i="32"/>
  <c r="B66" i="46"/>
  <c r="B384" i="37"/>
  <c r="B187" i="42"/>
  <c r="B710" i="34"/>
  <c r="B242" i="36"/>
  <c r="F299" i="34"/>
  <c r="F67" i="40"/>
  <c r="B266" i="34"/>
  <c r="F266" i="40"/>
  <c r="B224" i="34"/>
  <c r="B802" i="32"/>
  <c r="B520" i="34"/>
  <c r="F173" i="32"/>
  <c r="C995" i="39"/>
  <c r="B1239" i="33"/>
  <c r="J46" i="42"/>
  <c r="B251" i="40"/>
  <c r="F250" i="40"/>
  <c r="B580" i="34"/>
  <c r="B758" i="37"/>
  <c r="B52" i="32"/>
  <c r="B285" i="39"/>
  <c r="C284" i="39"/>
  <c r="B238" i="34"/>
  <c r="B663" i="37"/>
  <c r="B635" i="37"/>
  <c r="B634" i="37"/>
  <c r="B620" i="32"/>
  <c r="B67" i="46"/>
  <c r="C713" i="34"/>
  <c r="B248" i="34"/>
  <c r="G265" i="40"/>
  <c r="B806" i="32"/>
  <c r="F172" i="32"/>
  <c r="B1236" i="33"/>
  <c r="B582" i="34"/>
  <c r="B53" i="32"/>
  <c r="J949" i="32"/>
  <c r="C663" i="37"/>
  <c r="B622" i="32"/>
  <c r="J640" i="32"/>
  <c r="B891" i="32"/>
  <c r="F46" i="34"/>
  <c r="B374" i="37"/>
  <c r="B238" i="36"/>
  <c r="B222" i="34"/>
  <c r="B994" i="39"/>
  <c r="B248" i="40"/>
  <c r="B779" i="39"/>
  <c r="C286" i="39"/>
  <c r="B243" i="34"/>
  <c r="B624" i="32"/>
  <c r="C285" i="37" l="1"/>
  <c r="H61" i="42"/>
  <c r="H63" i="42" s="1"/>
  <c r="E865" i="39"/>
  <c r="C869" i="39" s="1"/>
  <c r="G1199" i="33"/>
  <c r="E720" i="34"/>
  <c r="C724" i="34" s="1"/>
  <c r="F194" i="37"/>
  <c r="F197" i="37" s="1"/>
  <c r="C200" i="37" s="1"/>
  <c r="F195" i="37"/>
  <c r="C1020" i="33"/>
  <c r="G91" i="34"/>
  <c r="M255" i="39"/>
  <c r="N255" i="39" s="1"/>
  <c r="I248" i="39" s="1"/>
  <c r="E62" i="42"/>
  <c r="E957" i="32"/>
  <c r="G961" i="32" s="1"/>
  <c r="C961" i="32"/>
  <c r="K961" i="32"/>
  <c r="A82" i="42"/>
  <c r="D81" i="42"/>
  <c r="G381" i="39"/>
  <c r="G382" i="39" s="1"/>
  <c r="G66" i="32"/>
  <c r="K66" i="32"/>
  <c r="E151" i="41"/>
  <c r="E153" i="41" s="1"/>
  <c r="C151" i="41"/>
  <c r="C153" i="41" s="1"/>
  <c r="D151" i="41"/>
  <c r="D153" i="41" s="1"/>
  <c r="E394" i="37"/>
  <c r="I394" i="37" s="1"/>
  <c r="E395" i="37"/>
  <c r="G103" i="41"/>
  <c r="G105" i="41"/>
  <c r="G317" i="34"/>
  <c r="I306" i="34"/>
  <c r="I159" i="42"/>
  <c r="A224" i="42"/>
  <c r="F223" i="42" s="1"/>
  <c r="C227" i="42"/>
  <c r="E164" i="37"/>
  <c r="E162" i="37"/>
  <c r="H253" i="32"/>
  <c r="H256" i="32"/>
  <c r="E305" i="36"/>
  <c r="A309" i="36" s="1"/>
  <c r="E304" i="36"/>
  <c r="E268" i="36"/>
  <c r="E269" i="36" s="1"/>
  <c r="A736" i="37"/>
  <c r="E734" i="37"/>
  <c r="E14" i="37"/>
  <c r="C16" i="37" s="1"/>
  <c r="D62" i="42"/>
  <c r="G1387" i="33"/>
  <c r="C517" i="37"/>
  <c r="K258" i="38"/>
  <c r="M258" i="38" s="1"/>
  <c r="K257" i="38"/>
  <c r="M257" i="38" s="1"/>
  <c r="F225" i="38"/>
  <c r="E249" i="46"/>
  <c r="C252" i="46" s="1"/>
  <c r="F119" i="41"/>
  <c r="F121" i="41" s="1"/>
  <c r="F122" i="41"/>
  <c r="C1384" i="33"/>
  <c r="C1385" i="33" s="1"/>
  <c r="C640" i="39"/>
  <c r="D595" i="37"/>
  <c r="G70" i="37"/>
  <c r="E250" i="36"/>
  <c r="D325" i="36"/>
  <c r="D326" i="36" s="1"/>
  <c r="A323" i="36" s="1"/>
  <c r="A621" i="39"/>
  <c r="G90" i="34"/>
  <c r="A36" i="46"/>
  <c r="C38" i="46" s="1"/>
  <c r="E802" i="39"/>
  <c r="E803" i="39" s="1"/>
  <c r="C805" i="39" s="1"/>
  <c r="G221" i="41"/>
  <c r="C225" i="41" s="1"/>
  <c r="G543" i="37"/>
  <c r="G544" i="37" s="1"/>
  <c r="D580" i="37"/>
  <c r="C582" i="37" s="1"/>
  <c r="A909" i="39"/>
  <c r="G736" i="39"/>
  <c r="L299" i="38"/>
  <c r="C650" i="39"/>
  <c r="D723" i="32"/>
  <c r="G726" i="32" s="1"/>
  <c r="A479" i="39"/>
  <c r="G482" i="39" s="1"/>
  <c r="C831" i="32"/>
  <c r="C419" i="37"/>
  <c r="E415" i="37"/>
  <c r="G419" i="37" s="1"/>
  <c r="G352" i="38"/>
  <c r="C1203" i="33"/>
  <c r="B85" i="38"/>
  <c r="A29" i="41"/>
  <c r="E233" i="36"/>
  <c r="H234" i="36" s="1"/>
  <c r="D327" i="36"/>
  <c r="E209" i="38"/>
  <c r="E210" i="38" s="1"/>
  <c r="C214" i="38"/>
  <c r="I217" i="42"/>
  <c r="A211" i="40"/>
  <c r="C212" i="40" s="1"/>
  <c r="A212" i="40" s="1"/>
  <c r="D784" i="32"/>
  <c r="D100" i="46"/>
  <c r="C104" i="46" s="1"/>
  <c r="C134" i="42"/>
  <c r="E337" i="38"/>
  <c r="E338" i="38" s="1"/>
  <c r="C342" i="38" s="1"/>
  <c r="E347" i="37"/>
  <c r="E348" i="37" s="1"/>
  <c r="C352" i="37" s="1"/>
  <c r="D80" i="42"/>
  <c r="H1387" i="33"/>
  <c r="D305" i="41"/>
  <c r="C310" i="41" s="1"/>
  <c r="C846" i="32"/>
  <c r="E799" i="33"/>
  <c r="C806" i="33" s="1"/>
  <c r="H53" i="42"/>
  <c r="C157" i="46"/>
  <c r="E1046" i="39"/>
  <c r="E1047" i="39" s="1"/>
  <c r="E1049" i="39" s="1"/>
  <c r="E1048" i="39" s="1"/>
  <c r="E1051" i="39" s="1"/>
  <c r="E1050" i="39"/>
  <c r="F344" i="40"/>
  <c r="G348" i="40" s="1"/>
  <c r="I309" i="34"/>
  <c r="L130" i="42"/>
  <c r="G192" i="41"/>
  <c r="I192" i="41" s="1"/>
  <c r="B89" i="38"/>
  <c r="H158" i="42"/>
  <c r="H157" i="42"/>
  <c r="H159" i="42" s="1"/>
  <c r="G161" i="42" s="1"/>
  <c r="E1052" i="39"/>
  <c r="B87" i="38"/>
  <c r="G762" i="39"/>
  <c r="F1387" i="33"/>
  <c r="B1387" i="33" s="1"/>
  <c r="I158" i="42"/>
  <c r="J125" i="41"/>
  <c r="B88" i="38"/>
  <c r="D596" i="37"/>
  <c r="G596" i="37" s="1"/>
  <c r="C598" i="37" s="1"/>
  <c r="D177" i="41"/>
  <c r="C180" i="41" s="1"/>
  <c r="B86" i="38"/>
  <c r="C46" i="37"/>
  <c r="F44" i="37"/>
  <c r="G46" i="37" s="1"/>
  <c r="F127" i="41"/>
  <c r="G132" i="41" s="1"/>
  <c r="C17" i="41"/>
  <c r="F207" i="41"/>
  <c r="F208" i="41"/>
  <c r="G221" i="34"/>
  <c r="I219" i="34"/>
  <c r="K221" i="34" s="1"/>
  <c r="A824" i="37"/>
  <c r="I825" i="37"/>
  <c r="E789" i="37"/>
  <c r="C792" i="37" s="1"/>
  <c r="C416" i="39"/>
  <c r="A424" i="39"/>
  <c r="D443" i="32"/>
  <c r="D444" i="32" s="1"/>
  <c r="C449" i="32" s="1"/>
  <c r="D445" i="32"/>
  <c r="H443" i="32" s="1"/>
  <c r="H444" i="32" s="1"/>
  <c r="G449" i="32" s="1"/>
  <c r="E583" i="39"/>
  <c r="C585" i="39" s="1"/>
  <c r="H150" i="41"/>
  <c r="G114" i="40"/>
  <c r="D20" i="39"/>
  <c r="D21" i="39"/>
  <c r="D22" i="39" s="1"/>
  <c r="D23" i="39" s="1"/>
  <c r="A673" i="37"/>
  <c r="D402" i="34"/>
  <c r="D63" i="42"/>
  <c r="E419" i="38"/>
  <c r="C424" i="38"/>
  <c r="D24" i="39"/>
  <c r="C200" i="39"/>
  <c r="C531" i="37"/>
  <c r="E359" i="39"/>
  <c r="E360" i="39" s="1"/>
  <c r="E114" i="36"/>
  <c r="C119" i="36" s="1"/>
  <c r="G923" i="39"/>
  <c r="G921" i="39"/>
  <c r="C1056" i="33"/>
  <c r="C1062" i="33" s="1"/>
  <c r="A24" i="39"/>
  <c r="H19" i="39" s="1"/>
  <c r="D585" i="32"/>
  <c r="D586" i="32" s="1"/>
  <c r="A1579" i="33"/>
  <c r="A1582" i="33"/>
  <c r="E1577" i="33" s="1"/>
  <c r="E1578" i="33" s="1"/>
  <c r="F188" i="32"/>
  <c r="F187" i="32"/>
  <c r="C98" i="34"/>
  <c r="G92" i="34"/>
  <c r="G98" i="34" s="1"/>
  <c r="G395" i="38"/>
  <c r="C348" i="40"/>
  <c r="F135" i="38"/>
  <c r="C138" i="38" s="1"/>
  <c r="E217" i="36"/>
  <c r="D970" i="32"/>
  <c r="D64" i="42"/>
  <c r="E349" i="41"/>
  <c r="A345" i="41" s="1"/>
  <c r="E90" i="39"/>
  <c r="G98" i="39" s="1"/>
  <c r="D235" i="41"/>
  <c r="A706" i="39"/>
  <c r="F702" i="39" s="1"/>
  <c r="F705" i="39" s="1"/>
  <c r="C60" i="36"/>
  <c r="C61" i="36"/>
  <c r="D783" i="32"/>
  <c r="E784" i="32"/>
  <c r="F120" i="38"/>
  <c r="A121" i="38"/>
  <c r="F118" i="38" s="1"/>
  <c r="F479" i="36"/>
  <c r="C483" i="36"/>
  <c r="D338" i="39"/>
  <c r="D339" i="39"/>
  <c r="D340" i="39" s="1"/>
  <c r="C345" i="39" s="1"/>
  <c r="E253" i="39"/>
  <c r="I250" i="39"/>
  <c r="I361" i="34"/>
  <c r="C114" i="40"/>
  <c r="H56" i="42"/>
  <c r="F84" i="37"/>
  <c r="G87" i="37" s="1"/>
  <c r="C87" i="37"/>
  <c r="J256" i="32"/>
  <c r="D707" i="32"/>
  <c r="G711" i="32" s="1"/>
  <c r="D706" i="32"/>
  <c r="K711" i="32" s="1"/>
  <c r="C711" i="32"/>
  <c r="K238" i="36"/>
  <c r="D167" i="32"/>
  <c r="D168" i="32" s="1"/>
  <c r="C171" i="32" s="1"/>
  <c r="E124" i="39"/>
  <c r="C130" i="39" s="1"/>
  <c r="C245" i="37"/>
  <c r="P240" i="37"/>
  <c r="G371" i="34"/>
  <c r="E261" i="38"/>
  <c r="C265" i="38" s="1"/>
  <c r="E389" i="39"/>
  <c r="F345" i="40"/>
  <c r="K348" i="40" s="1"/>
  <c r="I659" i="39"/>
  <c r="G589" i="34"/>
  <c r="G590" i="34" s="1"/>
  <c r="G593" i="34" s="1"/>
  <c r="C593" i="34"/>
  <c r="K277" i="37"/>
  <c r="K278" i="37" s="1"/>
  <c r="C817" i="32"/>
  <c r="K317" i="34"/>
  <c r="A346" i="41"/>
  <c r="A344" i="41"/>
  <c r="A457" i="39"/>
  <c r="A458" i="39" s="1"/>
  <c r="F449" i="39"/>
  <c r="C460" i="39" s="1"/>
  <c r="C149" i="32"/>
  <c r="D143" i="32"/>
  <c r="A176" i="40"/>
  <c r="C181" i="40"/>
  <c r="C94" i="39"/>
  <c r="K98" i="39" s="1"/>
  <c r="D397" i="36"/>
  <c r="D398" i="36" s="1"/>
  <c r="A395" i="36" s="1"/>
  <c r="A384" i="36"/>
  <c r="E381" i="36" s="1"/>
  <c r="E383" i="36" s="1"/>
  <c r="C386" i="36" s="1"/>
  <c r="F88" i="39"/>
  <c r="G106" i="39"/>
  <c r="E30" i="37"/>
  <c r="J122" i="41"/>
  <c r="J119" i="41"/>
  <c r="J126" i="41"/>
  <c r="C967" i="39"/>
  <c r="C966" i="39"/>
  <c r="C965" i="39"/>
  <c r="D474" i="32"/>
  <c r="C486" i="32" s="1"/>
  <c r="G478" i="32"/>
  <c r="A121" i="46"/>
  <c r="F102" i="42"/>
  <c r="C108" i="42" s="1"/>
  <c r="E102" i="42"/>
  <c r="C107" i="42" s="1"/>
  <c r="A622" i="39"/>
  <c r="C625" i="39"/>
  <c r="C622" i="39"/>
  <c r="C621" i="39"/>
  <c r="D810" i="32"/>
  <c r="A245" i="42"/>
  <c r="G244" i="42" s="1"/>
  <c r="G248" i="42" s="1"/>
  <c r="G651" i="39"/>
  <c r="A661" i="39"/>
  <c r="G653" i="39"/>
  <c r="G654" i="39" s="1"/>
  <c r="A658" i="39"/>
  <c r="E661" i="39"/>
  <c r="C108" i="41"/>
  <c r="E202" i="46"/>
  <c r="G200" i="46"/>
  <c r="E201" i="46" s="1"/>
  <c r="E203" i="46"/>
  <c r="C265" i="46"/>
  <c r="C267" i="46" s="1"/>
  <c r="B82" i="42"/>
  <c r="C82" i="42"/>
  <c r="C197" i="38"/>
  <c r="F192" i="38"/>
  <c r="G197" i="38" s="1"/>
  <c r="A158" i="40"/>
  <c r="A160" i="40"/>
  <c r="E78" i="40"/>
  <c r="K82" i="40"/>
  <c r="G41" i="42"/>
  <c r="A297" i="37"/>
  <c r="E296" i="37" s="1"/>
  <c r="K297" i="37"/>
  <c r="G301" i="37" s="1"/>
  <c r="F495" i="36"/>
  <c r="C497" i="36" s="1"/>
  <c r="H55" i="42"/>
  <c r="I964" i="39"/>
  <c r="A185" i="46"/>
  <c r="A189" i="46"/>
  <c r="A188" i="46" s="1"/>
  <c r="F770" i="37"/>
  <c r="F769" i="37"/>
  <c r="C777" i="37"/>
  <c r="F312" i="40"/>
  <c r="D289" i="41"/>
  <c r="C294" i="41" s="1"/>
  <c r="C861" i="32"/>
  <c r="I399" i="34"/>
  <c r="I400" i="34" s="1"/>
  <c r="D399" i="34"/>
  <c r="I397" i="34"/>
  <c r="I398" i="34" s="1"/>
  <c r="C605" i="39"/>
  <c r="C601" i="39"/>
  <c r="C602" i="39"/>
  <c r="A602" i="39"/>
  <c r="C911" i="32"/>
  <c r="C912" i="32"/>
  <c r="G265" i="38"/>
  <c r="H685" i="37"/>
  <c r="C690" i="37" s="1"/>
  <c r="F734" i="39"/>
  <c r="C736" i="39" s="1"/>
  <c r="F732" i="39"/>
  <c r="D192" i="41"/>
  <c r="I190" i="41"/>
  <c r="H195" i="41" s="1"/>
  <c r="D193" i="41"/>
  <c r="J416" i="32"/>
  <c r="J417" i="32" s="1"/>
  <c r="N414" i="32" s="1"/>
  <c r="K420" i="32" s="1"/>
  <c r="C420" i="32"/>
  <c r="C307" i="38"/>
  <c r="L304" i="38"/>
  <c r="K307" i="38" s="1"/>
  <c r="D358" i="38"/>
  <c r="C361" i="38" s="1"/>
  <c r="K361" i="38"/>
  <c r="C555" i="39"/>
  <c r="A567" i="39" s="1"/>
  <c r="A565" i="39"/>
  <c r="G557" i="39"/>
  <c r="G556" i="39" s="1"/>
  <c r="G151" i="41"/>
  <c r="H151" i="41"/>
  <c r="C210" i="41"/>
  <c r="K285" i="37"/>
  <c r="F281" i="37"/>
  <c r="O285" i="37" s="1"/>
  <c r="F280" i="37"/>
  <c r="S285" i="37" s="1"/>
  <c r="G278" i="41"/>
  <c r="C278" i="41"/>
  <c r="E832" i="39"/>
  <c r="E833" i="39" s="1"/>
  <c r="C841" i="39"/>
  <c r="C837" i="39"/>
  <c r="A837" i="39" s="1"/>
  <c r="E834" i="39" s="1"/>
  <c r="D1502" i="33"/>
  <c r="C1504" i="33" s="1"/>
  <c r="E306" i="36"/>
  <c r="C194" i="40"/>
  <c r="A194" i="40" s="1"/>
  <c r="M175" i="38"/>
  <c r="M176" i="38"/>
  <c r="K1021" i="39"/>
  <c r="G1021" i="39"/>
  <c r="H62" i="42"/>
  <c r="H64" i="42" s="1"/>
  <c r="L371" i="38"/>
  <c r="N371" i="38" s="1"/>
  <c r="K370" i="38"/>
  <c r="A374" i="38"/>
  <c r="C378" i="38" s="1"/>
  <c r="L372" i="38"/>
  <c r="N372" i="38" s="1"/>
  <c r="D734" i="34"/>
  <c r="D735" i="34" s="1"/>
  <c r="C741" i="34" s="1"/>
  <c r="C762" i="39"/>
  <c r="C35" i="32"/>
  <c r="I62" i="42"/>
  <c r="H65" i="42" s="1"/>
  <c r="C694" i="34"/>
  <c r="A495" i="37"/>
  <c r="E493" i="37"/>
  <c r="A68" i="39"/>
  <c r="G60" i="39"/>
  <c r="A888" i="39"/>
  <c r="K390" i="38"/>
  <c r="K389" i="38"/>
  <c r="C911" i="39"/>
  <c r="I402" i="34"/>
  <c r="I403" i="34" s="1"/>
  <c r="D404" i="34"/>
  <c r="C513" i="39"/>
  <c r="A522" i="39" s="1"/>
  <c r="G512" i="39"/>
  <c r="C514" i="39"/>
  <c r="J110" i="34"/>
  <c r="D113" i="34"/>
  <c r="J111" i="34" s="1"/>
  <c r="B297" i="40"/>
  <c r="B299" i="40"/>
  <c r="B296" i="40"/>
  <c r="B295" i="40"/>
  <c r="E1766" i="33"/>
  <c r="C1774" i="33"/>
  <c r="C230" i="37"/>
  <c r="C127" i="40"/>
  <c r="D403" i="34"/>
  <c r="A254" i="36"/>
  <c r="E251" i="36" s="1"/>
  <c r="F543" i="37"/>
  <c r="I542" i="37"/>
  <c r="B545" i="37"/>
  <c r="I541" i="37"/>
  <c r="C264" i="37"/>
  <c r="I256" i="37"/>
  <c r="J256" i="37" s="1"/>
  <c r="J257" i="37" s="1"/>
  <c r="G264" i="37" s="1"/>
  <c r="F260" i="37"/>
  <c r="F236" i="41"/>
  <c r="D236" i="41"/>
  <c r="E74" i="34"/>
  <c r="C80" i="34" s="1"/>
  <c r="K80" i="34"/>
  <c r="D405" i="38"/>
  <c r="D404" i="38"/>
  <c r="I216" i="36"/>
  <c r="I215" i="36" s="1"/>
  <c r="G222" i="36" s="1"/>
  <c r="C222" i="36"/>
  <c r="D973" i="32"/>
  <c r="F169" i="46"/>
  <c r="G169" i="46"/>
  <c r="E169" i="46"/>
  <c r="C258" i="32"/>
  <c r="C346" i="34"/>
  <c r="F44" i="39"/>
  <c r="G48" i="39" s="1"/>
  <c r="E608" i="37"/>
  <c r="E612" i="37" s="1"/>
  <c r="C146" i="39"/>
  <c r="C145" i="39"/>
  <c r="E313" i="37"/>
  <c r="E312" i="37"/>
  <c r="C317" i="37"/>
  <c r="K465" i="37"/>
  <c r="C465" i="37"/>
  <c r="E459" i="37"/>
  <c r="G464" i="37" s="1"/>
  <c r="F359" i="34"/>
  <c r="F360" i="34" s="1"/>
  <c r="F363" i="34"/>
  <c r="I365" i="34"/>
  <c r="H112" i="34"/>
  <c r="H111" i="34"/>
  <c r="J112" i="34"/>
  <c r="E242" i="38"/>
  <c r="E244" i="38" s="1"/>
  <c r="C248" i="38" s="1"/>
  <c r="L128" i="42"/>
  <c r="L131" i="42"/>
  <c r="L127" i="42"/>
  <c r="E167" i="46"/>
  <c r="A169" i="46" s="1"/>
  <c r="D147" i="37"/>
  <c r="G146" i="37" s="1"/>
  <c r="D101" i="37"/>
  <c r="F101" i="37" s="1"/>
  <c r="F99" i="37"/>
  <c r="G27" i="36"/>
  <c r="A27" i="36" s="1"/>
  <c r="E27" i="36" s="1"/>
  <c r="E28" i="36" s="1"/>
  <c r="C31" i="36" s="1"/>
  <c r="C525" i="36"/>
  <c r="G525" i="36"/>
  <c r="R390" i="38"/>
  <c r="S390" i="38" s="1"/>
  <c r="K472" i="38"/>
  <c r="I472" i="38"/>
  <c r="E144" i="34"/>
  <c r="C147" i="34" s="1"/>
  <c r="C318" i="40"/>
  <c r="G318" i="40"/>
  <c r="F179" i="37"/>
  <c r="K177" i="37" s="1"/>
  <c r="D417" i="34"/>
  <c r="C420" i="34"/>
  <c r="C66" i="36"/>
  <c r="F43" i="39"/>
  <c r="A674" i="37"/>
  <c r="F671" i="37"/>
  <c r="F673" i="37" s="1"/>
  <c r="C676" i="37" s="1"/>
  <c r="L669" i="32"/>
  <c r="I663" i="32"/>
  <c r="I662" i="32"/>
  <c r="C910" i="32"/>
  <c r="C909" i="32"/>
  <c r="G898" i="32"/>
  <c r="C913" i="32" s="1"/>
  <c r="C75" i="46"/>
  <c r="D342" i="39"/>
  <c r="D341" i="39"/>
  <c r="G345" i="39" s="1"/>
  <c r="D328" i="36"/>
  <c r="D329" i="36" s="1"/>
  <c r="I661" i="32"/>
  <c r="I660" i="32"/>
  <c r="H669" i="32"/>
  <c r="D82" i="42"/>
  <c r="K85" i="42"/>
  <c r="C317" i="34"/>
  <c r="C423" i="41"/>
  <c r="A425" i="41"/>
  <c r="F416" i="41" s="1"/>
  <c r="F418" i="41" s="1"/>
  <c r="I473" i="38"/>
  <c r="K473" i="38"/>
  <c r="E343" i="36"/>
  <c r="C345" i="36" s="1"/>
  <c r="G340" i="36"/>
  <c r="G345" i="36" s="1"/>
  <c r="E75" i="46"/>
  <c r="D75" i="46"/>
  <c r="B75" i="46"/>
  <c r="E284" i="36"/>
  <c r="E285" i="36" s="1"/>
  <c r="E287" i="36"/>
  <c r="A479" i="37"/>
  <c r="C481" i="37" s="1"/>
  <c r="A481" i="37" s="1"/>
  <c r="E477" i="37" s="1"/>
  <c r="C109" i="38"/>
  <c r="F106" i="38"/>
  <c r="G109" i="38" s="1"/>
  <c r="A424" i="38"/>
  <c r="E421" i="38" s="1"/>
  <c r="E87" i="39"/>
  <c r="C93" i="39" s="1"/>
  <c r="C95" i="39" s="1"/>
  <c r="A95" i="39" s="1"/>
  <c r="A93" i="39" s="1"/>
  <c r="A86" i="39"/>
  <c r="H648" i="32"/>
  <c r="I648" i="32" s="1"/>
  <c r="C650" i="32" s="1"/>
  <c r="G605" i="39"/>
  <c r="G640" i="39"/>
  <c r="C165" i="38"/>
  <c r="C47" i="41"/>
  <c r="D41" i="41"/>
  <c r="G310" i="41"/>
  <c r="E400" i="41"/>
  <c r="A394" i="41" s="1"/>
  <c r="F398" i="41" s="1"/>
  <c r="G398" i="41" s="1"/>
  <c r="J218" i="42"/>
  <c r="K227" i="42"/>
  <c r="J219" i="42"/>
  <c r="G153" i="41"/>
  <c r="H153" i="41"/>
  <c r="F422" i="41"/>
  <c r="F137" i="46"/>
  <c r="F138" i="46" s="1"/>
  <c r="C142" i="46" s="1"/>
  <c r="Y421" i="39"/>
  <c r="Y422" i="39" s="1"/>
  <c r="Y423" i="39" s="1"/>
  <c r="L426" i="39" s="1"/>
  <c r="L427" i="39" s="1"/>
  <c r="P421" i="39" s="1"/>
  <c r="C301" i="37"/>
  <c r="C298" i="34"/>
  <c r="K298" i="34"/>
  <c r="J151" i="41"/>
  <c r="C159" i="41"/>
  <c r="C160" i="41"/>
  <c r="J150" i="41"/>
  <c r="I474" i="38"/>
  <c r="K474" i="38"/>
  <c r="A122" i="39"/>
  <c r="E123" i="39"/>
  <c r="C129" i="39" s="1"/>
  <c r="I232" i="36"/>
  <c r="G238" i="36" s="1"/>
  <c r="I247" i="39"/>
  <c r="I252" i="39" s="1"/>
  <c r="G295" i="46"/>
  <c r="H295" i="46"/>
  <c r="I295" i="46"/>
  <c r="B289" i="37"/>
  <c r="B290" i="37"/>
  <c r="B285" i="37"/>
  <c r="B287" i="37"/>
  <c r="B286" i="37"/>
  <c r="B288" i="37"/>
  <c r="B869" i="39"/>
  <c r="B871" i="39"/>
  <c r="B870" i="39"/>
  <c r="B874" i="39"/>
  <c r="B873" i="39"/>
  <c r="B872" i="39"/>
  <c r="B726" i="34"/>
  <c r="B725" i="34"/>
  <c r="B724" i="34"/>
  <c r="B727" i="34"/>
  <c r="B729" i="34"/>
  <c r="B728" i="34"/>
  <c r="B1021" i="33"/>
  <c r="B1024" i="33"/>
  <c r="B1025" i="33"/>
  <c r="B1020" i="33"/>
  <c r="B1022" i="33"/>
  <c r="B1023" i="33"/>
  <c r="F962" i="32"/>
  <c r="F964" i="32"/>
  <c r="F963" i="32"/>
  <c r="F965" i="32"/>
  <c r="F961" i="32"/>
  <c r="F966" i="32"/>
  <c r="K69" i="32"/>
  <c r="K70" i="32"/>
  <c r="J66" i="32"/>
  <c r="K68" i="32"/>
  <c r="J71" i="32"/>
  <c r="K71" i="32"/>
  <c r="J68" i="32"/>
  <c r="J70" i="32"/>
  <c r="K67" i="32"/>
  <c r="J67" i="32"/>
  <c r="J69" i="32"/>
  <c r="F322" i="34"/>
  <c r="F318" i="34"/>
  <c r="F320" i="34"/>
  <c r="F321" i="34"/>
  <c r="F319" i="34"/>
  <c r="F317" i="34"/>
  <c r="B21" i="37"/>
  <c r="B19" i="37"/>
  <c r="B18" i="37"/>
  <c r="B20" i="37"/>
  <c r="B17" i="37"/>
  <c r="B16" i="37"/>
  <c r="C587" i="37"/>
  <c r="F740" i="39"/>
  <c r="G739" i="39"/>
  <c r="F487" i="39"/>
  <c r="B836" i="32"/>
  <c r="B424" i="37"/>
  <c r="B1207" i="33"/>
  <c r="B214" i="38"/>
  <c r="B108" i="46"/>
  <c r="B138" i="42"/>
  <c r="B343" i="38"/>
  <c r="B353" i="37"/>
  <c r="B315" i="41"/>
  <c r="B847" i="32"/>
  <c r="C159" i="46"/>
  <c r="F350" i="40"/>
  <c r="B600" i="37"/>
  <c r="C181" i="41"/>
  <c r="G764" i="39"/>
  <c r="B49" i="37"/>
  <c r="F50" i="37"/>
  <c r="F136" i="41"/>
  <c r="F165" i="42"/>
  <c r="B17" i="41"/>
  <c r="B201" i="39"/>
  <c r="B536" i="37"/>
  <c r="B453" i="32"/>
  <c r="F449" i="32"/>
  <c r="B122" i="36"/>
  <c r="J226" i="34"/>
  <c r="F116" i="40"/>
  <c r="G119" i="40"/>
  <c r="B796" i="37"/>
  <c r="B349" i="40"/>
  <c r="C484" i="36"/>
  <c r="C117" i="40"/>
  <c r="B117" i="40"/>
  <c r="B249" i="37"/>
  <c r="B594" i="34"/>
  <c r="B140" i="38"/>
  <c r="J716" i="32"/>
  <c r="B711" i="32"/>
  <c r="G376" i="34"/>
  <c r="B348" i="39"/>
  <c r="F88" i="37"/>
  <c r="K242" i="36"/>
  <c r="B268" i="38"/>
  <c r="B91" i="37"/>
  <c r="B175" i="32"/>
  <c r="J351" i="40"/>
  <c r="F98" i="34"/>
  <c r="F103" i="39"/>
  <c r="B1067" i="33"/>
  <c r="G397" i="38"/>
  <c r="F597" i="34"/>
  <c r="B150" i="32"/>
  <c r="C778" i="37"/>
  <c r="B779" i="37"/>
  <c r="B270" i="46"/>
  <c r="J320" i="34"/>
  <c r="F111" i="39"/>
  <c r="B489" i="32"/>
  <c r="B184" i="40"/>
  <c r="B625" i="39"/>
  <c r="F41" i="42"/>
  <c r="J100" i="39"/>
  <c r="F479" i="32"/>
  <c r="B108" i="41"/>
  <c r="F202" i="38"/>
  <c r="B497" i="36"/>
  <c r="F252" i="42"/>
  <c r="G252" i="42"/>
  <c r="F305" i="37"/>
  <c r="B865" i="32"/>
  <c r="J312" i="38"/>
  <c r="C282" i="41"/>
  <c r="B381" i="38"/>
  <c r="F269" i="37"/>
  <c r="F225" i="36"/>
  <c r="B347" i="34"/>
  <c r="B318" i="37"/>
  <c r="B361" i="38"/>
  <c r="C214" i="41"/>
  <c r="B763" i="39"/>
  <c r="B224" i="36"/>
  <c r="F50" i="39"/>
  <c r="G266" i="38"/>
  <c r="J364" i="38"/>
  <c r="J286" i="37"/>
  <c r="B37" i="32"/>
  <c r="J466" i="37"/>
  <c r="K422" i="32"/>
  <c r="N285" i="37"/>
  <c r="B845" i="39"/>
  <c r="J1021" i="39"/>
  <c r="B203" i="37"/>
  <c r="B465" i="37"/>
  <c r="B607" i="39"/>
  <c r="R290" i="37"/>
  <c r="F1026" i="39"/>
  <c r="B85" i="34"/>
  <c r="F469" i="37"/>
  <c r="B740" i="39"/>
  <c r="C697" i="34"/>
  <c r="B697" i="34"/>
  <c r="B912" i="39"/>
  <c r="B1779" i="33"/>
  <c r="B258" i="32"/>
  <c r="B308" i="38"/>
  <c r="F280" i="41"/>
  <c r="B743" i="34"/>
  <c r="B269" i="37"/>
  <c r="B250" i="38"/>
  <c r="B693" i="37"/>
  <c r="G198" i="41"/>
  <c r="B321" i="40"/>
  <c r="B71" i="36"/>
  <c r="K670" i="32"/>
  <c r="J303" i="34"/>
  <c r="B36" i="36"/>
  <c r="B961" i="32"/>
  <c r="B966" i="32"/>
  <c r="B964" i="32"/>
  <c r="B965" i="32"/>
  <c r="B962" i="32"/>
  <c r="B963" i="32"/>
  <c r="B582" i="37"/>
  <c r="F741" i="39"/>
  <c r="F736" i="39"/>
  <c r="F483" i="39"/>
  <c r="B833" i="32"/>
  <c r="B420" i="37"/>
  <c r="B1205" i="33"/>
  <c r="B219" i="38"/>
  <c r="C106" i="46"/>
  <c r="B134" i="42"/>
  <c r="B346" i="38"/>
  <c r="B86" i="42"/>
  <c r="B314" i="41"/>
  <c r="B846" i="32"/>
  <c r="B161" i="46"/>
  <c r="F349" i="40"/>
  <c r="C184" i="41"/>
  <c r="B180" i="41"/>
  <c r="G763" i="39"/>
  <c r="B50" i="37"/>
  <c r="F48" i="37"/>
  <c r="G165" i="42"/>
  <c r="G162" i="42"/>
  <c r="B22" i="41"/>
  <c r="B203" i="39"/>
  <c r="B534" i="37"/>
  <c r="F226" i="34"/>
  <c r="F450" i="32"/>
  <c r="B123" i="36"/>
  <c r="B585" i="39"/>
  <c r="F117" i="40"/>
  <c r="G118" i="40"/>
  <c r="C795" i="37"/>
  <c r="B351" i="40"/>
  <c r="B487" i="36"/>
  <c r="B118" i="40"/>
  <c r="F716" i="32"/>
  <c r="B248" i="37"/>
  <c r="B593" i="34"/>
  <c r="B808" i="33"/>
  <c r="J714" i="32"/>
  <c r="B716" i="32"/>
  <c r="F375" i="34"/>
  <c r="B347" i="39"/>
  <c r="F89" i="37"/>
  <c r="K241" i="36"/>
  <c r="B270" i="38"/>
  <c r="B102" i="34"/>
  <c r="B174" i="32"/>
  <c r="J352" i="40"/>
  <c r="F102" i="34"/>
  <c r="F99" i="39"/>
  <c r="B1062" i="33"/>
  <c r="F395" i="38"/>
  <c r="F593" i="34"/>
  <c r="B387" i="36"/>
  <c r="B782" i="37"/>
  <c r="C782" i="37"/>
  <c r="B268" i="46"/>
  <c r="J322" i="34"/>
  <c r="F110" i="39"/>
  <c r="J82" i="40"/>
  <c r="B186" i="40"/>
  <c r="J963" i="32"/>
  <c r="K962" i="32"/>
  <c r="J966" i="32"/>
  <c r="J964" i="32"/>
  <c r="K966" i="32"/>
  <c r="K965" i="32"/>
  <c r="J962" i="32"/>
  <c r="K963" i="32"/>
  <c r="J965" i="32"/>
  <c r="K964" i="32"/>
  <c r="J961" i="32"/>
  <c r="C584" i="37"/>
  <c r="G737" i="39"/>
  <c r="F728" i="32"/>
  <c r="F482" i="39"/>
  <c r="B835" i="32"/>
  <c r="F421" i="37"/>
  <c r="B1204" i="33"/>
  <c r="B215" i="38"/>
  <c r="B109" i="46"/>
  <c r="B139" i="42"/>
  <c r="B347" i="38"/>
  <c r="B89" i="42"/>
  <c r="B310" i="41"/>
  <c r="C158" i="46"/>
  <c r="C160" i="46"/>
  <c r="F351" i="40"/>
  <c r="B183" i="41"/>
  <c r="B182" i="41"/>
  <c r="G766" i="39"/>
  <c r="B46" i="37"/>
  <c r="F47" i="37"/>
  <c r="F161" i="42"/>
  <c r="F163" i="42"/>
  <c r="B202" i="39"/>
  <c r="C201" i="39"/>
  <c r="B531" i="37"/>
  <c r="F221" i="34"/>
  <c r="F453" i="32"/>
  <c r="B120" i="36"/>
  <c r="B588" i="39"/>
  <c r="F119" i="40"/>
  <c r="B794" i="37"/>
  <c r="C797" i="37"/>
  <c r="B350" i="40"/>
  <c r="B485" i="36"/>
  <c r="B116" i="40"/>
  <c r="F715" i="32"/>
  <c r="B247" i="37"/>
  <c r="B598" i="34"/>
  <c r="B811" i="33"/>
  <c r="J711" i="32"/>
  <c r="B713" i="32"/>
  <c r="F373" i="34"/>
  <c r="B345" i="39"/>
  <c r="K239" i="36"/>
  <c r="K243" i="36"/>
  <c r="B266" i="38"/>
  <c r="B100" i="34"/>
  <c r="B172" i="32"/>
  <c r="K353" i="40"/>
  <c r="F99" i="34"/>
  <c r="F101" i="39"/>
  <c r="F397" i="38"/>
  <c r="F396" i="38"/>
  <c r="F595" i="34"/>
  <c r="B390" i="36"/>
  <c r="B780" i="37"/>
  <c r="B817" i="32"/>
  <c r="B269" i="46"/>
  <c r="J317" i="34"/>
  <c r="F109" i="39"/>
  <c r="J84" i="40"/>
  <c r="B181" i="40"/>
  <c r="B628" i="39"/>
  <c r="F45" i="42"/>
  <c r="J102" i="39"/>
  <c r="B200" i="38"/>
  <c r="B111" i="41"/>
  <c r="D811" i="32"/>
  <c r="B461" i="39"/>
  <c r="G253" i="42"/>
  <c r="F306" i="37"/>
  <c r="F302" i="37"/>
  <c r="B864" i="32"/>
  <c r="B281" i="41"/>
  <c r="C279" i="41"/>
  <c r="F266" i="37"/>
  <c r="G267" i="37"/>
  <c r="F224" i="36"/>
  <c r="C349" i="34"/>
  <c r="B321" i="37"/>
  <c r="B210" i="41"/>
  <c r="B215" i="41"/>
  <c r="B764" i="39"/>
  <c r="B222" i="36"/>
  <c r="F52" i="39"/>
  <c r="G267" i="38"/>
  <c r="J362" i="38"/>
  <c r="J285" i="37"/>
  <c r="K467" i="37"/>
  <c r="J465" i="37"/>
  <c r="K425" i="32"/>
  <c r="N287" i="37"/>
  <c r="B843" i="39"/>
  <c r="J1025" i="39"/>
  <c r="B204" i="37"/>
  <c r="B469" i="37"/>
  <c r="B424" i="32"/>
  <c r="R287" i="37"/>
  <c r="F1021" i="39"/>
  <c r="F466" i="37"/>
  <c r="G468" i="37"/>
  <c r="B741" i="39"/>
  <c r="B696" i="34"/>
  <c r="J81" i="34"/>
  <c r="B911" i="39"/>
  <c r="B1776" i="33"/>
  <c r="B298" i="41"/>
  <c r="B309" i="38"/>
  <c r="F282" i="41"/>
  <c r="B522" i="37"/>
  <c r="B517" i="37"/>
  <c r="B519" i="37"/>
  <c r="B518" i="37"/>
  <c r="B521" i="37"/>
  <c r="B520" i="37"/>
  <c r="B643" i="39"/>
  <c r="B640" i="39"/>
  <c r="B644" i="39"/>
  <c r="B641" i="39"/>
  <c r="B642" i="39"/>
  <c r="B645" i="39"/>
  <c r="B40" i="46"/>
  <c r="B42" i="46"/>
  <c r="B38" i="46"/>
  <c r="B43" i="46"/>
  <c r="B41" i="46"/>
  <c r="B39" i="46"/>
  <c r="C585" i="37"/>
  <c r="G738" i="39"/>
  <c r="F730" i="32"/>
  <c r="F485" i="39"/>
  <c r="B831" i="32"/>
  <c r="F422" i="37"/>
  <c r="B1208" i="33"/>
  <c r="B217" i="38"/>
  <c r="B105" i="46"/>
  <c r="B136" i="42"/>
  <c r="B357" i="37"/>
  <c r="B90" i="42"/>
  <c r="B313" i="41"/>
  <c r="B159" i="46"/>
  <c r="C162" i="46"/>
  <c r="B603" i="37"/>
  <c r="B184" i="41"/>
  <c r="B185" i="41"/>
  <c r="F766" i="39"/>
  <c r="B48" i="37"/>
  <c r="F135" i="41"/>
  <c r="F166" i="42"/>
  <c r="G166" i="42"/>
  <c r="C205" i="39"/>
  <c r="B204" i="39"/>
  <c r="B451" i="32"/>
  <c r="F225" i="34"/>
  <c r="F451" i="32"/>
  <c r="J224" i="34"/>
  <c r="B586" i="39"/>
  <c r="G115" i="40"/>
  <c r="B793" i="37"/>
  <c r="B795" i="37"/>
  <c r="C488" i="36"/>
  <c r="C485" i="36"/>
  <c r="B115" i="40"/>
  <c r="F712" i="32"/>
  <c r="B245" i="37"/>
  <c r="B141" i="38"/>
  <c r="B807" i="33"/>
  <c r="J713" i="32"/>
  <c r="F376" i="34"/>
  <c r="G374" i="34"/>
  <c r="B350" i="39"/>
  <c r="J242" i="36"/>
  <c r="J241" i="36"/>
  <c r="B88" i="37"/>
  <c r="B103" i="34"/>
  <c r="B176" i="32"/>
  <c r="K349" i="40"/>
  <c r="F101" i="34"/>
  <c r="F102" i="39"/>
  <c r="G400" i="38"/>
  <c r="F398" i="38"/>
  <c r="B151" i="32"/>
  <c r="B388" i="36"/>
  <c r="B778" i="37"/>
  <c r="B819" i="32"/>
  <c r="B272" i="46"/>
  <c r="J319" i="34"/>
  <c r="B490" i="32"/>
  <c r="J85" i="40"/>
  <c r="B185" i="40"/>
  <c r="F46" i="42"/>
  <c r="F43" i="42"/>
  <c r="J98" i="39"/>
  <c r="B202" i="38"/>
  <c r="B113" i="41"/>
  <c r="B499" i="36"/>
  <c r="B460" i="39"/>
  <c r="F251" i="42"/>
  <c r="G302" i="37"/>
  <c r="F303" i="37"/>
  <c r="J311" i="38"/>
  <c r="C281" i="41"/>
  <c r="B279" i="41"/>
  <c r="F264" i="37"/>
  <c r="G265" i="37"/>
  <c r="B348" i="34"/>
  <c r="C347" i="34"/>
  <c r="B317" i="37"/>
  <c r="B212" i="41"/>
  <c r="C213" i="41"/>
  <c r="C763" i="39"/>
  <c r="B226" i="36"/>
  <c r="F53" i="39"/>
  <c r="F269" i="38"/>
  <c r="J361" i="38"/>
  <c r="B40" i="32"/>
  <c r="K466" i="37"/>
  <c r="J469" i="37"/>
  <c r="J424" i="32"/>
  <c r="N286" i="37"/>
  <c r="B844" i="39"/>
  <c r="J1023" i="39"/>
  <c r="B202" i="37"/>
  <c r="B608" i="39"/>
  <c r="B423" i="32"/>
  <c r="R286" i="37"/>
  <c r="B84" i="34"/>
  <c r="F464" i="37"/>
  <c r="G469" i="37"/>
  <c r="C739" i="39"/>
  <c r="B699" i="34"/>
  <c r="J82" i="34"/>
  <c r="B916" i="39"/>
  <c r="B1775" i="33"/>
  <c r="B296" i="41"/>
  <c r="B311" i="38"/>
  <c r="F278" i="41"/>
  <c r="B235" i="37"/>
  <c r="B267" i="37"/>
  <c r="B252" i="38"/>
  <c r="B692" i="37"/>
  <c r="B148" i="34"/>
  <c r="B319" i="40"/>
  <c r="B67" i="36"/>
  <c r="J298" i="34"/>
  <c r="K300" i="34"/>
  <c r="B33" i="36"/>
  <c r="F321" i="40"/>
  <c r="B231" i="42"/>
  <c r="B230" i="42"/>
  <c r="B229" i="42"/>
  <c r="B227" i="42"/>
  <c r="B232" i="42"/>
  <c r="B228" i="42"/>
  <c r="B805" i="39"/>
  <c r="B809" i="39"/>
  <c r="B806" i="39"/>
  <c r="B810" i="39"/>
  <c r="B808" i="39"/>
  <c r="B807" i="39"/>
  <c r="B584" i="37"/>
  <c r="C583" i="37"/>
  <c r="G740" i="39"/>
  <c r="F729" i="32"/>
  <c r="F486" i="39"/>
  <c r="B419" i="37"/>
  <c r="F424" i="37"/>
  <c r="B1206" i="33"/>
  <c r="C109" i="46"/>
  <c r="B106" i="46"/>
  <c r="B135" i="42"/>
  <c r="B355" i="37"/>
  <c r="B88" i="42"/>
  <c r="B849" i="32"/>
  <c r="B160" i="46"/>
  <c r="B162" i="46"/>
  <c r="B601" i="37"/>
  <c r="C182" i="41"/>
  <c r="G765" i="39"/>
  <c r="F762" i="39"/>
  <c r="B51" i="37"/>
  <c r="F134" i="41"/>
  <c r="G163" i="42"/>
  <c r="B21" i="41"/>
  <c r="C203" i="39"/>
  <c r="B205" i="39"/>
  <c r="B450" i="32"/>
  <c r="F224" i="34"/>
  <c r="F454" i="32"/>
  <c r="J225" i="34"/>
  <c r="B589" i="39"/>
  <c r="F114" i="40"/>
  <c r="C794" i="37"/>
  <c r="B797" i="37"/>
  <c r="C486" i="36"/>
  <c r="C487" i="36"/>
  <c r="B119" i="40"/>
  <c r="F711" i="32"/>
  <c r="B246" i="37"/>
  <c r="B143" i="38"/>
  <c r="B809" i="33"/>
  <c r="J712" i="32"/>
  <c r="F374" i="34"/>
  <c r="G373" i="34"/>
  <c r="F90" i="37"/>
  <c r="J239" i="36"/>
  <c r="J240" i="36"/>
  <c r="B89" i="37"/>
  <c r="B101" i="34"/>
  <c r="B173" i="32"/>
  <c r="J349" i="40"/>
  <c r="F103" i="34"/>
  <c r="B1063" i="33"/>
  <c r="F400" i="38"/>
  <c r="F399" i="38"/>
  <c r="B149" i="32"/>
  <c r="B386" i="36"/>
  <c r="C781" i="37"/>
  <c r="B820" i="32"/>
  <c r="B271" i="46"/>
  <c r="J318" i="34"/>
  <c r="B488" i="32"/>
  <c r="J83" i="40"/>
  <c r="B183" i="40"/>
  <c r="G46" i="42"/>
  <c r="G42" i="42"/>
  <c r="F480" i="32"/>
  <c r="B199" i="38"/>
  <c r="F199" i="38"/>
  <c r="B502" i="36"/>
  <c r="B463" i="39"/>
  <c r="F250" i="42"/>
  <c r="G303" i="37"/>
  <c r="F304" i="37"/>
  <c r="J310" i="38"/>
  <c r="B283" i="41"/>
  <c r="B382" i="38"/>
  <c r="F267" i="37"/>
  <c r="G269" i="37"/>
  <c r="C350" i="34"/>
  <c r="B346" i="34"/>
  <c r="B362" i="38"/>
  <c r="C211" i="41"/>
  <c r="C212" i="41"/>
  <c r="C764" i="39"/>
  <c r="B227" i="36"/>
  <c r="F266" i="38"/>
  <c r="F268" i="38"/>
  <c r="J363" i="38"/>
  <c r="B35" i="32"/>
  <c r="J470" i="37"/>
  <c r="B165" i="38"/>
  <c r="J421" i="32"/>
  <c r="N288" i="37"/>
  <c r="K1022" i="39"/>
  <c r="K1024" i="39"/>
  <c r="B205" i="37"/>
  <c r="B605" i="39"/>
  <c r="B420" i="32"/>
  <c r="R289" i="37"/>
  <c r="B80" i="34"/>
  <c r="F467" i="37"/>
  <c r="B738" i="39"/>
  <c r="B736" i="39"/>
  <c r="C699" i="34"/>
  <c r="J84" i="34"/>
  <c r="B915" i="39"/>
  <c r="B261" i="32"/>
  <c r="B297" i="41"/>
  <c r="B312" i="38"/>
  <c r="B745" i="34"/>
  <c r="B230" i="37"/>
  <c r="B264" i="37"/>
  <c r="B253" i="38"/>
  <c r="G199" i="41"/>
  <c r="B149" i="34"/>
  <c r="B318" i="40"/>
  <c r="F89" i="42"/>
  <c r="K302" i="34"/>
  <c r="J299" i="34"/>
  <c r="G323" i="40"/>
  <c r="B230" i="41"/>
  <c r="B229" i="41"/>
  <c r="B228" i="41"/>
  <c r="B225" i="41"/>
  <c r="B227" i="41"/>
  <c r="B226" i="41"/>
  <c r="C586" i="37"/>
  <c r="B586" i="37"/>
  <c r="G741" i="39"/>
  <c r="F727" i="32"/>
  <c r="F484" i="39"/>
  <c r="B421" i="37"/>
  <c r="F423" i="37"/>
  <c r="B1203" i="33"/>
  <c r="B107" i="46"/>
  <c r="C107" i="46"/>
  <c r="B344" i="38"/>
  <c r="B356" i="37"/>
  <c r="B87" i="42"/>
  <c r="B850" i="32"/>
  <c r="C161" i="46"/>
  <c r="F352" i="40"/>
  <c r="B599" i="37"/>
  <c r="B181" i="41"/>
  <c r="F764" i="39"/>
  <c r="F767" i="39"/>
  <c r="F51" i="37"/>
  <c r="F132" i="41"/>
  <c r="F162" i="42"/>
  <c r="B20" i="41"/>
  <c r="B200" i="39"/>
  <c r="B535" i="37"/>
  <c r="B449" i="32"/>
  <c r="F222" i="34"/>
  <c r="B124" i="36"/>
  <c r="J222" i="34"/>
  <c r="B590" i="39"/>
  <c r="F118" i="40"/>
  <c r="C793" i="37"/>
  <c r="B348" i="40"/>
  <c r="B483" i="36"/>
  <c r="B486" i="36"/>
  <c r="C118" i="40"/>
  <c r="F713" i="32"/>
  <c r="B596" i="34"/>
  <c r="B142" i="38"/>
  <c r="B810" i="33"/>
  <c r="B715" i="32"/>
  <c r="F372" i="34"/>
  <c r="G375" i="34"/>
  <c r="F92" i="37"/>
  <c r="K240" i="36"/>
  <c r="B267" i="38"/>
  <c r="B92" i="37"/>
  <c r="B98" i="34"/>
  <c r="J353" i="40"/>
  <c r="K351" i="40"/>
  <c r="F100" i="34"/>
  <c r="B1066" i="33"/>
  <c r="G398" i="38"/>
  <c r="F594" i="34"/>
  <c r="B152" i="32"/>
  <c r="B391" i="36"/>
  <c r="B777" i="37"/>
  <c r="B818" i="32"/>
  <c r="B267" i="46"/>
  <c r="F107" i="39"/>
  <c r="B486" i="32"/>
  <c r="J86" i="40"/>
  <c r="B627" i="39"/>
  <c r="F44" i="42"/>
  <c r="G43" i="42"/>
  <c r="F483" i="32"/>
  <c r="B198" i="38"/>
  <c r="F201" i="38"/>
  <c r="B500" i="36"/>
  <c r="B464" i="39"/>
  <c r="G250" i="42"/>
  <c r="G305" i="37"/>
  <c r="B863" i="32"/>
  <c r="J307" i="38"/>
  <c r="C280" i="41"/>
  <c r="B383" i="38"/>
  <c r="G266" i="37"/>
  <c r="F222" i="36"/>
  <c r="B349" i="34"/>
  <c r="C351" i="34"/>
  <c r="B363" i="38"/>
  <c r="B214" i="41"/>
  <c r="B767" i="39"/>
  <c r="C767" i="39"/>
  <c r="B225" i="36"/>
  <c r="F267" i="38"/>
  <c r="F270" i="38"/>
  <c r="J287" i="37"/>
  <c r="B36" i="32"/>
  <c r="K470" i="37"/>
  <c r="K423" i="32"/>
  <c r="J420" i="32"/>
  <c r="N289" i="37"/>
  <c r="J1026" i="39"/>
  <c r="J1024" i="39"/>
  <c r="B467" i="37"/>
  <c r="B610" i="39"/>
  <c r="B421" i="32"/>
  <c r="F1025" i="39"/>
  <c r="B82" i="34"/>
  <c r="G466" i="37"/>
  <c r="C737" i="39"/>
  <c r="B739" i="39"/>
  <c r="C695" i="34"/>
  <c r="J83" i="34"/>
  <c r="B913" i="39"/>
  <c r="B259" i="32"/>
  <c r="B294" i="41"/>
  <c r="B310" i="38"/>
  <c r="B741" i="34"/>
  <c r="B231" i="37"/>
  <c r="B265" i="37"/>
  <c r="B248" i="38"/>
  <c r="G196" i="41"/>
  <c r="B151" i="34"/>
  <c r="B320" i="40"/>
  <c r="K671" i="32"/>
  <c r="K303" i="34"/>
  <c r="J301" i="34"/>
  <c r="G321" i="40"/>
  <c r="B585" i="37"/>
  <c r="B583" i="37"/>
  <c r="F738" i="39"/>
  <c r="F731" i="32"/>
  <c r="B834" i="32"/>
  <c r="B423" i="37"/>
  <c r="F420" i="37"/>
  <c r="B216" i="38"/>
  <c r="C108" i="46"/>
  <c r="C105" i="46"/>
  <c r="B345" i="38"/>
  <c r="B354" i="37"/>
  <c r="B311" i="41"/>
  <c r="B848" i="32"/>
  <c r="B157" i="46"/>
  <c r="F348" i="40"/>
  <c r="B598" i="37"/>
  <c r="C185" i="41"/>
  <c r="F765" i="39"/>
  <c r="G767" i="39"/>
  <c r="F49" i="37"/>
  <c r="F133" i="41"/>
  <c r="G164" i="42"/>
  <c r="B19" i="41"/>
  <c r="C202" i="39"/>
  <c r="B532" i="37"/>
  <c r="B452" i="32"/>
  <c r="F223" i="34"/>
  <c r="B119" i="36"/>
  <c r="J221" i="34"/>
  <c r="B587" i="39"/>
  <c r="F115" i="40"/>
  <c r="C796" i="37"/>
  <c r="B352" i="40"/>
  <c r="B488" i="36"/>
  <c r="C116" i="40"/>
  <c r="B114" i="40"/>
  <c r="F714" i="32"/>
  <c r="B597" i="34"/>
  <c r="B138" i="38"/>
  <c r="B806" i="33"/>
  <c r="B714" i="32"/>
  <c r="G372" i="34"/>
  <c r="B346" i="39"/>
  <c r="F87" i="37"/>
  <c r="J243" i="36"/>
  <c r="B265" i="38"/>
  <c r="B90" i="37"/>
  <c r="B99" i="34"/>
  <c r="J348" i="40"/>
  <c r="K352" i="40"/>
  <c r="F100" i="39"/>
  <c r="B1065" i="33"/>
  <c r="G399" i="38"/>
  <c r="F598" i="34"/>
  <c r="B154" i="32"/>
  <c r="B389" i="36"/>
  <c r="C780" i="37"/>
  <c r="B821" i="32"/>
  <c r="E79" i="40"/>
  <c r="F108" i="39"/>
  <c r="B487" i="32"/>
  <c r="J87" i="40"/>
  <c r="B626" i="39"/>
  <c r="G44" i="42"/>
  <c r="J101" i="39"/>
  <c r="F481" i="32"/>
  <c r="B201" i="38"/>
  <c r="B112" i="41"/>
  <c r="F197" i="38"/>
  <c r="B498" i="36"/>
  <c r="B462" i="39"/>
  <c r="G251" i="42"/>
  <c r="G306" i="37"/>
  <c r="B861" i="32"/>
  <c r="J309" i="38"/>
  <c r="B280" i="41"/>
  <c r="B378" i="38"/>
  <c r="G268" i="37"/>
  <c r="F227" i="36"/>
  <c r="C348" i="34"/>
  <c r="B322" i="37"/>
  <c r="B365" i="38"/>
  <c r="C215" i="41"/>
  <c r="C766" i="39"/>
  <c r="B766" i="39"/>
  <c r="F49" i="39"/>
  <c r="G269" i="38"/>
  <c r="F265" i="38"/>
  <c r="J290" i="37"/>
  <c r="B39" i="32"/>
  <c r="K469" i="37"/>
  <c r="J422" i="32"/>
  <c r="J423" i="32"/>
  <c r="B842" i="39"/>
  <c r="K1023" i="39"/>
  <c r="K1025" i="39"/>
  <c r="B466" i="37"/>
  <c r="B606" i="39"/>
  <c r="B425" i="32"/>
  <c r="F1024" i="39"/>
  <c r="B81" i="34"/>
  <c r="F468" i="37"/>
  <c r="C740" i="39"/>
  <c r="C741" i="39"/>
  <c r="C696" i="34"/>
  <c r="J80" i="34"/>
  <c r="B1774" i="33"/>
  <c r="B262" i="32"/>
  <c r="B295" i="41"/>
  <c r="F279" i="41"/>
  <c r="B742" i="34"/>
  <c r="B233" i="37"/>
  <c r="B1504" i="33"/>
  <c r="B690" i="37"/>
  <c r="G195" i="41"/>
  <c r="B150" i="34"/>
  <c r="B68" i="36"/>
  <c r="K669" i="32"/>
  <c r="J302" i="34"/>
  <c r="B32" i="36"/>
  <c r="F323" i="40"/>
  <c r="F66" i="32"/>
  <c r="F67" i="32"/>
  <c r="F71" i="32"/>
  <c r="F69" i="32"/>
  <c r="F70" i="32"/>
  <c r="F68" i="32"/>
  <c r="C256" i="46"/>
  <c r="C257" i="46"/>
  <c r="B255" i="46"/>
  <c r="C253" i="46"/>
  <c r="B256" i="46"/>
  <c r="B253" i="46"/>
  <c r="C254" i="46"/>
  <c r="B257" i="46"/>
  <c r="B254" i="46"/>
  <c r="C255" i="46"/>
  <c r="B252" i="46"/>
  <c r="B587" i="37"/>
  <c r="F737" i="39"/>
  <c r="F739" i="39"/>
  <c r="F726" i="32"/>
  <c r="B832" i="32"/>
  <c r="B422" i="37"/>
  <c r="F419" i="37"/>
  <c r="B218" i="38"/>
  <c r="B104" i="46"/>
  <c r="B137" i="42"/>
  <c r="B342" i="38"/>
  <c r="B352" i="37"/>
  <c r="B312" i="41"/>
  <c r="B851" i="32"/>
  <c r="B158" i="46"/>
  <c r="F353" i="40"/>
  <c r="B602" i="37"/>
  <c r="C183" i="41"/>
  <c r="F763" i="39"/>
  <c r="B47" i="37"/>
  <c r="F46" i="37"/>
  <c r="F137" i="41"/>
  <c r="F164" i="42"/>
  <c r="B18" i="41"/>
  <c r="C204" i="39"/>
  <c r="B533" i="37"/>
  <c r="B454" i="32"/>
  <c r="F452" i="32"/>
  <c r="B121" i="36"/>
  <c r="J223" i="34"/>
  <c r="G117" i="40"/>
  <c r="G116" i="40"/>
  <c r="B792" i="37"/>
  <c r="B353" i="40"/>
  <c r="B484" i="36"/>
  <c r="C119" i="40"/>
  <c r="C115" i="40"/>
  <c r="B250" i="37"/>
  <c r="B595" i="34"/>
  <c r="B139" i="38"/>
  <c r="J715" i="32"/>
  <c r="B712" i="32"/>
  <c r="F371" i="34"/>
  <c r="B349" i="39"/>
  <c r="F91" i="37"/>
  <c r="J238" i="36"/>
  <c r="B269" i="38"/>
  <c r="B87" i="37"/>
  <c r="B171" i="32"/>
  <c r="K350" i="40"/>
  <c r="J350" i="40"/>
  <c r="F98" i="39"/>
  <c r="B1064" i="33"/>
  <c r="G396" i="38"/>
  <c r="F596" i="34"/>
  <c r="B153" i="32"/>
  <c r="C779" i="37"/>
  <c r="B781" i="37"/>
  <c r="B822" i="32"/>
  <c r="J321" i="34"/>
  <c r="F106" i="39"/>
  <c r="B491" i="32"/>
  <c r="B182" i="40"/>
  <c r="B630" i="39"/>
  <c r="F42" i="42"/>
  <c r="J103" i="39"/>
  <c r="F482" i="32"/>
  <c r="B197" i="38"/>
  <c r="B109" i="41"/>
  <c r="F198" i="38"/>
  <c r="B501" i="36"/>
  <c r="F249" i="42"/>
  <c r="G249" i="42"/>
  <c r="G304" i="37"/>
  <c r="B862" i="32"/>
  <c r="J308" i="38"/>
  <c r="C283" i="41"/>
  <c r="B379" i="38"/>
  <c r="F268" i="37"/>
  <c r="F223" i="36"/>
  <c r="B351" i="34"/>
  <c r="B320" i="37"/>
  <c r="B366" i="38"/>
  <c r="B213" i="41"/>
  <c r="B762" i="39"/>
  <c r="B765" i="39"/>
  <c r="F51" i="39"/>
  <c r="G268" i="38"/>
  <c r="J366" i="38"/>
  <c r="J289" i="37"/>
  <c r="B38" i="32"/>
  <c r="K468" i="37"/>
  <c r="K421" i="32"/>
  <c r="F478" i="32"/>
  <c r="B866" i="32"/>
  <c r="B364" i="38"/>
  <c r="J467" i="37"/>
  <c r="J1022" i="39"/>
  <c r="R288" i="37"/>
  <c r="B737" i="39"/>
  <c r="B1778" i="33"/>
  <c r="B746" i="34"/>
  <c r="B695" i="37"/>
  <c r="B323" i="40"/>
  <c r="K301" i="34"/>
  <c r="F319" i="40"/>
  <c r="B529" i="36"/>
  <c r="F349" i="39"/>
  <c r="B349" i="36"/>
  <c r="F641" i="39"/>
  <c r="G530" i="36"/>
  <c r="F527" i="36"/>
  <c r="G350" i="36"/>
  <c r="B168" i="38"/>
  <c r="B143" i="46"/>
  <c r="B109" i="38"/>
  <c r="B652" i="32"/>
  <c r="B170" i="38"/>
  <c r="F113" i="38"/>
  <c r="F606" i="39"/>
  <c r="F610" i="39"/>
  <c r="C304" i="37"/>
  <c r="C305" i="37"/>
  <c r="B301" i="34"/>
  <c r="B679" i="37"/>
  <c r="C681" i="37"/>
  <c r="G313" i="41"/>
  <c r="G240" i="36"/>
  <c r="G243" i="36"/>
  <c r="B211" i="41"/>
  <c r="J468" i="37"/>
  <c r="B201" i="37"/>
  <c r="B698" i="34"/>
  <c r="B260" i="32"/>
  <c r="B694" i="37"/>
  <c r="J300" i="34"/>
  <c r="B527" i="36"/>
  <c r="G641" i="39"/>
  <c r="G529" i="36"/>
  <c r="B169" i="38"/>
  <c r="B113" i="38"/>
  <c r="F87" i="42"/>
  <c r="B421" i="34"/>
  <c r="B346" i="36"/>
  <c r="B110" i="41"/>
  <c r="B278" i="41"/>
  <c r="C765" i="39"/>
  <c r="K424" i="32"/>
  <c r="B200" i="37"/>
  <c r="F1023" i="39"/>
  <c r="C698" i="34"/>
  <c r="B263" i="32"/>
  <c r="B232" i="37"/>
  <c r="B691" i="37"/>
  <c r="B70" i="36"/>
  <c r="B34" i="36"/>
  <c r="F318" i="40"/>
  <c r="B526" i="36"/>
  <c r="G670" i="32"/>
  <c r="B350" i="36"/>
  <c r="F644" i="39"/>
  <c r="G527" i="36"/>
  <c r="F529" i="36"/>
  <c r="F347" i="36"/>
  <c r="J230" i="42"/>
  <c r="B144" i="46"/>
  <c r="K90" i="42"/>
  <c r="B111" i="38"/>
  <c r="C653" i="32"/>
  <c r="B322" i="34"/>
  <c r="F112" i="38"/>
  <c r="F608" i="39"/>
  <c r="B47" i="41"/>
  <c r="B304" i="37"/>
  <c r="C306" i="37"/>
  <c r="B425" i="34"/>
  <c r="B681" i="37"/>
  <c r="B677" i="37"/>
  <c r="G312" i="41"/>
  <c r="F238" i="36"/>
  <c r="B422" i="32"/>
  <c r="F348" i="39"/>
  <c r="F348" i="36"/>
  <c r="K89" i="42"/>
  <c r="F609" i="39"/>
  <c r="B420" i="34"/>
  <c r="F239" i="36"/>
  <c r="B49" i="41"/>
  <c r="F200" i="38"/>
  <c r="B380" i="38"/>
  <c r="B223" i="36"/>
  <c r="J425" i="32"/>
  <c r="B470" i="37"/>
  <c r="B83" i="34"/>
  <c r="B694" i="34"/>
  <c r="B299" i="41"/>
  <c r="B268" i="37"/>
  <c r="G200" i="41"/>
  <c r="B69" i="36"/>
  <c r="B35" i="36"/>
  <c r="F322" i="40"/>
  <c r="F345" i="39"/>
  <c r="G669" i="32"/>
  <c r="B348" i="36"/>
  <c r="F643" i="39"/>
  <c r="G526" i="36"/>
  <c r="F350" i="36"/>
  <c r="F345" i="36"/>
  <c r="J232" i="42"/>
  <c r="B146" i="46"/>
  <c r="K86" i="42"/>
  <c r="B110" i="38"/>
  <c r="C652" i="32"/>
  <c r="B319" i="34"/>
  <c r="F110" i="38"/>
  <c r="G606" i="39"/>
  <c r="B52" i="41"/>
  <c r="B302" i="37"/>
  <c r="B300" i="34"/>
  <c r="B423" i="34"/>
  <c r="C679" i="37"/>
  <c r="F313" i="41"/>
  <c r="F310" i="41"/>
  <c r="F242" i="36"/>
  <c r="B841" i="39"/>
  <c r="B528" i="36"/>
  <c r="F525" i="36"/>
  <c r="B320" i="34"/>
  <c r="B303" i="34"/>
  <c r="G239" i="36"/>
  <c r="G610" i="39"/>
  <c r="G241" i="36"/>
  <c r="B465" i="39"/>
  <c r="F265" i="37"/>
  <c r="F48" i="39"/>
  <c r="N290" i="37"/>
  <c r="B468" i="37"/>
  <c r="G465" i="37"/>
  <c r="B695" i="34"/>
  <c r="B307" i="38"/>
  <c r="B266" i="37"/>
  <c r="G197" i="41"/>
  <c r="K674" i="32"/>
  <c r="B31" i="36"/>
  <c r="F90" i="42"/>
  <c r="F350" i="39"/>
  <c r="G672" i="32"/>
  <c r="B347" i="36"/>
  <c r="G642" i="39"/>
  <c r="F528" i="36"/>
  <c r="F349" i="36"/>
  <c r="G346" i="36"/>
  <c r="J231" i="42"/>
  <c r="B142" i="46"/>
  <c r="K87" i="42"/>
  <c r="B112" i="38"/>
  <c r="B650" i="32"/>
  <c r="B318" i="34"/>
  <c r="F111" i="38"/>
  <c r="F605" i="39"/>
  <c r="B50" i="41"/>
  <c r="C303" i="37"/>
  <c r="B299" i="34"/>
  <c r="B422" i="34"/>
  <c r="C677" i="37"/>
  <c r="G315" i="41"/>
  <c r="F312" i="41"/>
  <c r="F243" i="36"/>
  <c r="F253" i="42"/>
  <c r="B251" i="38"/>
  <c r="F320" i="40"/>
  <c r="G643" i="39"/>
  <c r="B166" i="38"/>
  <c r="C655" i="32"/>
  <c r="G608" i="39"/>
  <c r="B306" i="37"/>
  <c r="C680" i="37"/>
  <c r="C302" i="37"/>
  <c r="B676" i="37"/>
  <c r="B629" i="39"/>
  <c r="F248" i="42"/>
  <c r="F226" i="36"/>
  <c r="G270" i="38"/>
  <c r="B846" i="39"/>
  <c r="B609" i="39"/>
  <c r="G467" i="37"/>
  <c r="J85" i="34"/>
  <c r="F283" i="41"/>
  <c r="B1505" i="33"/>
  <c r="B147" i="34"/>
  <c r="K673" i="32"/>
  <c r="G322" i="40"/>
  <c r="B525" i="36"/>
  <c r="F347" i="39"/>
  <c r="G674" i="32"/>
  <c r="G645" i="39"/>
  <c r="G644" i="39"/>
  <c r="G528" i="36"/>
  <c r="F346" i="36"/>
  <c r="G348" i="36"/>
  <c r="J229" i="42"/>
  <c r="B147" i="46"/>
  <c r="J85" i="42"/>
  <c r="B655" i="32"/>
  <c r="C654" i="32"/>
  <c r="B321" i="34"/>
  <c r="F114" i="38"/>
  <c r="G609" i="39"/>
  <c r="B51" i="41"/>
  <c r="B301" i="37"/>
  <c r="B298" i="34"/>
  <c r="B424" i="34"/>
  <c r="B680" i="37"/>
  <c r="F311" i="41"/>
  <c r="G311" i="41"/>
  <c r="F241" i="36"/>
  <c r="G45" i="42"/>
  <c r="B350" i="34"/>
  <c r="J365" i="38"/>
  <c r="F465" i="37"/>
  <c r="B914" i="39"/>
  <c r="F281" i="41"/>
  <c r="B152" i="34"/>
  <c r="K672" i="32"/>
  <c r="G671" i="32"/>
  <c r="F645" i="39"/>
  <c r="B653" i="32"/>
  <c r="B48" i="41"/>
  <c r="F314" i="41"/>
  <c r="B305" i="37"/>
  <c r="F315" i="41"/>
  <c r="J228" i="42"/>
  <c r="J99" i="39"/>
  <c r="F301" i="37"/>
  <c r="B319" i="37"/>
  <c r="J288" i="37"/>
  <c r="K1026" i="39"/>
  <c r="R285" i="37"/>
  <c r="C738" i="39"/>
  <c r="B1777" i="33"/>
  <c r="B744" i="34"/>
  <c r="B249" i="38"/>
  <c r="B322" i="40"/>
  <c r="K299" i="34"/>
  <c r="G319" i="40"/>
  <c r="B530" i="36"/>
  <c r="F346" i="39"/>
  <c r="B345" i="36"/>
  <c r="F640" i="39"/>
  <c r="F642" i="39"/>
  <c r="F526" i="36"/>
  <c r="G349" i="36"/>
  <c r="B167" i="38"/>
  <c r="J227" i="42"/>
  <c r="B114" i="38"/>
  <c r="C651" i="32"/>
  <c r="B654" i="32"/>
  <c r="B317" i="34"/>
  <c r="G607" i="39"/>
  <c r="F607" i="39"/>
  <c r="F88" i="42"/>
  <c r="B303" i="37"/>
  <c r="B302" i="34"/>
  <c r="F86" i="42"/>
  <c r="C678" i="37"/>
  <c r="G314" i="41"/>
  <c r="F240" i="36"/>
  <c r="G242" i="36"/>
  <c r="B282" i="41"/>
  <c r="F1022" i="39"/>
  <c r="B234" i="37"/>
  <c r="B66" i="36"/>
  <c r="G320" i="40"/>
  <c r="G673" i="32"/>
  <c r="F530" i="36"/>
  <c r="G347" i="36"/>
  <c r="B145" i="46"/>
  <c r="K88" i="42"/>
  <c r="B651" i="32"/>
  <c r="F109" i="38"/>
  <c r="B678" i="37"/>
  <c r="I70" i="37" l="1"/>
  <c r="K68" i="37"/>
  <c r="K70" i="37" s="1"/>
  <c r="K69" i="37"/>
  <c r="K71" i="37"/>
  <c r="F123" i="41"/>
  <c r="C132" i="41" s="1"/>
  <c r="F224" i="42"/>
  <c r="J267" i="36"/>
  <c r="J268" i="36" s="1"/>
  <c r="G273" i="36" s="1"/>
  <c r="C390" i="39"/>
  <c r="C387" i="39"/>
  <c r="D387" i="39" s="1"/>
  <c r="D390" i="39" s="1"/>
  <c r="E308" i="36"/>
  <c r="G231" i="38"/>
  <c r="K231" i="38"/>
  <c r="I71" i="37"/>
  <c r="I69" i="37"/>
  <c r="A738" i="37"/>
  <c r="C740" i="37" s="1"/>
  <c r="A740" i="37" s="1"/>
  <c r="E736" i="37" s="1"/>
  <c r="G168" i="37"/>
  <c r="O168" i="37"/>
  <c r="K394" i="37"/>
  <c r="I395" i="37"/>
  <c r="K395" i="37" s="1"/>
  <c r="F211" i="40"/>
  <c r="F212" i="40" s="1"/>
  <c r="D237" i="41"/>
  <c r="C240" i="41" s="1"/>
  <c r="C112" i="42"/>
  <c r="J127" i="41"/>
  <c r="C140" i="41" s="1"/>
  <c r="D28" i="41"/>
  <c r="D29" i="41"/>
  <c r="C31" i="41" s="1"/>
  <c r="K473" i="32"/>
  <c r="G486" i="32" s="1"/>
  <c r="G355" i="38"/>
  <c r="G361" i="38" s="1"/>
  <c r="G353" i="38"/>
  <c r="G354" i="38" s="1"/>
  <c r="D400" i="36"/>
  <c r="D401" i="36" s="1"/>
  <c r="D395" i="36" s="1"/>
  <c r="A396" i="36" s="1"/>
  <c r="K143" i="37"/>
  <c r="C150" i="37" s="1"/>
  <c r="A400" i="36"/>
  <c r="G227" i="42"/>
  <c r="B1388" i="33"/>
  <c r="C1390" i="33" s="1"/>
  <c r="G214" i="38"/>
  <c r="E211" i="38"/>
  <c r="A401" i="36"/>
  <c r="C67" i="42"/>
  <c r="K87" i="37"/>
  <c r="G787" i="32"/>
  <c r="C190" i="32"/>
  <c r="G181" i="38"/>
  <c r="N159" i="42"/>
  <c r="N155" i="42"/>
  <c r="N157" i="42"/>
  <c r="N156" i="42"/>
  <c r="N158" i="42"/>
  <c r="C406" i="34"/>
  <c r="C92" i="38"/>
  <c r="C1056" i="39"/>
  <c r="G1056" i="39"/>
  <c r="C26" i="39"/>
  <c r="H18" i="39"/>
  <c r="G26" i="39" s="1"/>
  <c r="C343" i="41"/>
  <c r="A343" i="41" s="1"/>
  <c r="H352" i="41" s="1"/>
  <c r="G922" i="39"/>
  <c r="I423" i="38"/>
  <c r="I419" i="38"/>
  <c r="I818" i="37"/>
  <c r="E819" i="37"/>
  <c r="I822" i="37"/>
  <c r="G924" i="39"/>
  <c r="G925" i="39" s="1"/>
  <c r="A928" i="39" s="1"/>
  <c r="A929" i="39" s="1"/>
  <c r="C932" i="39" s="1"/>
  <c r="F544" i="37"/>
  <c r="B547" i="37" s="1"/>
  <c r="K197" i="38"/>
  <c r="E1579" i="33"/>
  <c r="C1585" i="33" s="1"/>
  <c r="E361" i="39"/>
  <c r="E362" i="39" s="1"/>
  <c r="E363" i="39" s="1"/>
  <c r="C370" i="39"/>
  <c r="A425" i="39"/>
  <c r="A426" i="39" s="1"/>
  <c r="J312" i="37"/>
  <c r="K312" i="37" s="1"/>
  <c r="O227" i="42"/>
  <c r="F287" i="36"/>
  <c r="F288" i="36" s="1"/>
  <c r="C669" i="32"/>
  <c r="G294" i="41"/>
  <c r="F772" i="37"/>
  <c r="C206" i="46"/>
  <c r="F707" i="39"/>
  <c r="G712" i="39" s="1"/>
  <c r="E126" i="39"/>
  <c r="C133" i="39" s="1"/>
  <c r="F124" i="39"/>
  <c r="S268" i="39"/>
  <c r="M249" i="39"/>
  <c r="G260" i="39" s="1"/>
  <c r="C131" i="39"/>
  <c r="A131" i="39" s="1"/>
  <c r="A129" i="39" s="1"/>
  <c r="F612" i="37"/>
  <c r="H612" i="37" s="1"/>
  <c r="E254" i="39"/>
  <c r="M251" i="39"/>
  <c r="F119" i="38"/>
  <c r="C124" i="38" s="1"/>
  <c r="K176" i="37"/>
  <c r="G285" i="37"/>
  <c r="Q240" i="37"/>
  <c r="Q241" i="37" s="1"/>
  <c r="F704" i="39"/>
  <c r="C712" i="39" s="1"/>
  <c r="D812" i="32"/>
  <c r="G817" i="32" s="1"/>
  <c r="O82" i="40"/>
  <c r="C964" i="39"/>
  <c r="J311" i="37"/>
  <c r="P389" i="38"/>
  <c r="K395" i="38" s="1"/>
  <c r="B122" i="46"/>
  <c r="C122" i="46"/>
  <c r="A122" i="46"/>
  <c r="J121" i="41"/>
  <c r="J123" i="41" s="1"/>
  <c r="K132" i="41" s="1"/>
  <c r="J124" i="41"/>
  <c r="G140" i="41" s="1"/>
  <c r="F709" i="39"/>
  <c r="G625" i="39"/>
  <c r="C914" i="32"/>
  <c r="C33" i="37"/>
  <c r="F30" i="37"/>
  <c r="E182" i="46"/>
  <c r="E189" i="46"/>
  <c r="I660" i="39"/>
  <c r="I661" i="39" s="1"/>
  <c r="I662" i="39" s="1"/>
  <c r="G665" i="39" s="1"/>
  <c r="E658" i="39"/>
  <c r="E659" i="39" s="1"/>
  <c r="H147" i="37"/>
  <c r="D145" i="32"/>
  <c r="C157" i="32" s="1"/>
  <c r="G149" i="32"/>
  <c r="E86" i="39"/>
  <c r="H146" i="37"/>
  <c r="O150" i="37" s="1"/>
  <c r="C116" i="34"/>
  <c r="A161" i="40"/>
  <c r="G157" i="40" s="1"/>
  <c r="K404" i="38"/>
  <c r="K406" i="38"/>
  <c r="I404" i="38"/>
  <c r="I407" i="38"/>
  <c r="I406" i="38"/>
  <c r="K405" i="38"/>
  <c r="K378" i="38"/>
  <c r="D156" i="41"/>
  <c r="H134" i="42"/>
  <c r="I359" i="34"/>
  <c r="F364" i="34"/>
  <c r="I408" i="38"/>
  <c r="I405" i="38"/>
  <c r="K408" i="38"/>
  <c r="K407" i="38"/>
  <c r="C512" i="39"/>
  <c r="A524" i="39" s="1"/>
  <c r="G514" i="39"/>
  <c r="A497" i="37"/>
  <c r="A499" i="37" s="1"/>
  <c r="D736" i="34"/>
  <c r="G741" i="34" s="1"/>
  <c r="G307" i="36"/>
  <c r="A308" i="36" s="1"/>
  <c r="E307" i="36" s="1"/>
  <c r="I302" i="36" s="1"/>
  <c r="I303" i="36" s="1"/>
  <c r="E309" i="36"/>
  <c r="C314" i="36"/>
  <c r="H302" i="36"/>
  <c r="K151" i="41"/>
  <c r="K150" i="41"/>
  <c r="J191" i="40"/>
  <c r="F361" i="34"/>
  <c r="G379" i="34"/>
  <c r="C144" i="39"/>
  <c r="G147" i="39" s="1"/>
  <c r="A150" i="39"/>
  <c r="C172" i="46"/>
  <c r="G1774" i="33"/>
  <c r="K1774" i="33"/>
  <c r="G558" i="39"/>
  <c r="G559" i="39" s="1"/>
  <c r="A566" i="39"/>
  <c r="G190" i="40"/>
  <c r="G143" i="39"/>
  <c r="C301" i="40"/>
  <c r="E838" i="39"/>
  <c r="G841" i="39" s="1"/>
  <c r="E839" i="39"/>
  <c r="K841" i="39" s="1"/>
  <c r="M241" i="38"/>
  <c r="O241" i="38" s="1"/>
  <c r="M240" i="38"/>
  <c r="O240" i="38" s="1"/>
  <c r="N240" i="38"/>
  <c r="B546" i="37"/>
  <c r="C133" i="40"/>
  <c r="J129" i="40" s="1"/>
  <c r="G136" i="40" s="1"/>
  <c r="C131" i="40"/>
  <c r="K136" i="40"/>
  <c r="H611" i="37"/>
  <c r="E613" i="37"/>
  <c r="E615" i="37" s="1"/>
  <c r="H615" i="37" s="1"/>
  <c r="D974" i="32"/>
  <c r="C977" i="32" s="1"/>
  <c r="I970" i="32"/>
  <c r="C404" i="36"/>
  <c r="E252" i="36"/>
  <c r="A253" i="36" s="1"/>
  <c r="H248" i="36"/>
  <c r="G59" i="39"/>
  <c r="G61" i="39"/>
  <c r="G62" i="39" s="1"/>
  <c r="F64" i="39" s="1"/>
  <c r="F65" i="39" s="1"/>
  <c r="C195" i="41"/>
  <c r="G150" i="37"/>
  <c r="C483" i="37"/>
  <c r="E476" i="37"/>
  <c r="F395" i="41"/>
  <c r="G395" i="41" s="1"/>
  <c r="G394" i="41"/>
  <c r="F397" i="41"/>
  <c r="G397" i="41" s="1"/>
  <c r="E387" i="39"/>
  <c r="G386" i="39" s="1"/>
  <c r="E156" i="41"/>
  <c r="F423" i="41"/>
  <c r="F424" i="41" s="1"/>
  <c r="F419" i="41"/>
  <c r="F420" i="41" s="1"/>
  <c r="C478" i="38"/>
  <c r="I101" i="37"/>
  <c r="I102" i="37" s="1"/>
  <c r="O105" i="37" s="1"/>
  <c r="G99" i="37"/>
  <c r="C158" i="41"/>
  <c r="G163" i="41"/>
  <c r="I150" i="41"/>
  <c r="I151" i="41"/>
  <c r="K163" i="41" s="1"/>
  <c r="G421" i="38"/>
  <c r="I425" i="38" s="1"/>
  <c r="H421" i="38"/>
  <c r="I426" i="38" s="1"/>
  <c r="G75" i="46"/>
  <c r="H75" i="46"/>
  <c r="F421" i="41"/>
  <c r="C105" i="37"/>
  <c r="G101" i="37"/>
  <c r="G105" i="37" s="1"/>
  <c r="G439" i="39"/>
  <c r="P422" i="39"/>
  <c r="P424" i="39" s="1"/>
  <c r="C439" i="39" s="1"/>
  <c r="M252" i="39"/>
  <c r="D323" i="36"/>
  <c r="A324" i="36" s="1"/>
  <c r="C331" i="36"/>
  <c r="L151" i="41"/>
  <c r="L150" i="41"/>
  <c r="I249" i="39"/>
  <c r="C916" i="32"/>
  <c r="M151" i="41"/>
  <c r="M150" i="41"/>
  <c r="F123" i="39"/>
  <c r="E125" i="39"/>
  <c r="F125" i="39" s="1"/>
  <c r="C297" i="46"/>
  <c r="E122" i="39"/>
  <c r="E180" i="37"/>
  <c r="G183" i="37" s="1"/>
  <c r="K179" i="37"/>
  <c r="K178" i="37"/>
  <c r="K180" i="37"/>
  <c r="K145" i="37"/>
  <c r="K146" i="37"/>
  <c r="J145" i="37"/>
  <c r="C48" i="39"/>
  <c r="L45" i="39"/>
  <c r="F46" i="39" s="1"/>
  <c r="K48" i="39" s="1"/>
  <c r="K345" i="39"/>
  <c r="A341" i="39"/>
  <c r="O345" i="39"/>
  <c r="K150" i="37"/>
  <c r="F396" i="41"/>
  <c r="G396" i="41" s="1"/>
  <c r="F87" i="39"/>
  <c r="E89" i="39"/>
  <c r="G93" i="39" s="1"/>
  <c r="C106" i="39" s="1"/>
  <c r="C293" i="36"/>
  <c r="G293" i="36"/>
  <c r="B135" i="41"/>
  <c r="B134" i="41"/>
  <c r="B132" i="41"/>
  <c r="B137" i="41"/>
  <c r="B136" i="41"/>
  <c r="B133" i="41"/>
  <c r="G278" i="36"/>
  <c r="F278" i="36"/>
  <c r="G277" i="36"/>
  <c r="F274" i="36"/>
  <c r="F276" i="36"/>
  <c r="F277" i="36"/>
  <c r="G275" i="36"/>
  <c r="G276" i="36"/>
  <c r="F273" i="36"/>
  <c r="G274" i="36"/>
  <c r="F275" i="36"/>
  <c r="B244" i="41"/>
  <c r="B113" i="42"/>
  <c r="B33" i="41"/>
  <c r="F487" i="32"/>
  <c r="F366" i="38"/>
  <c r="G230" i="42"/>
  <c r="F228" i="42"/>
  <c r="C1394" i="33"/>
  <c r="F219" i="38"/>
  <c r="B70" i="42"/>
  <c r="J90" i="37"/>
  <c r="F788" i="32"/>
  <c r="C191" i="32"/>
  <c r="C194" i="32"/>
  <c r="F182" i="38"/>
  <c r="F1056" i="39"/>
  <c r="C409" i="34"/>
  <c r="B92" i="38"/>
  <c r="B1056" i="39"/>
  <c r="B373" i="39"/>
  <c r="B27" i="39"/>
  <c r="F30" i="39"/>
  <c r="J202" i="38"/>
  <c r="B1589" i="33"/>
  <c r="B138" i="39"/>
  <c r="O231" i="42"/>
  <c r="O232" i="42"/>
  <c r="B669" i="32"/>
  <c r="R273" i="39"/>
  <c r="F287" i="37"/>
  <c r="F294" i="41"/>
  <c r="G298" i="41"/>
  <c r="C208" i="46"/>
  <c r="B209" i="46"/>
  <c r="F820" i="32"/>
  <c r="J137" i="41"/>
  <c r="B36" i="37"/>
  <c r="F140" i="40"/>
  <c r="N83" i="40"/>
  <c r="F140" i="41"/>
  <c r="K400" i="38"/>
  <c r="F668" i="39"/>
  <c r="F717" i="39"/>
  <c r="F626" i="39"/>
  <c r="F630" i="39"/>
  <c r="F745" i="34"/>
  <c r="J1776" i="33"/>
  <c r="J1774" i="33"/>
  <c r="B302" i="40"/>
  <c r="F381" i="34"/>
  <c r="F845" i="39"/>
  <c r="K383" i="38"/>
  <c r="B319" i="36"/>
  <c r="J845" i="39"/>
  <c r="K138" i="40"/>
  <c r="B406" i="36"/>
  <c r="G136" i="42"/>
  <c r="C173" i="46"/>
  <c r="B110" i="39"/>
  <c r="B197" i="41"/>
  <c r="C196" i="41"/>
  <c r="J90" i="42"/>
  <c r="F294" i="36"/>
  <c r="O153" i="37"/>
  <c r="B336" i="36"/>
  <c r="C333" i="36"/>
  <c r="F153" i="37"/>
  <c r="F163" i="41"/>
  <c r="B484" i="37"/>
  <c r="B297" i="46"/>
  <c r="B917" i="32"/>
  <c r="J165" i="41"/>
  <c r="J346" i="39"/>
  <c r="F442" i="39"/>
  <c r="J152" i="37"/>
  <c r="B479" i="38"/>
  <c r="B443" i="39"/>
  <c r="N347" i="39"/>
  <c r="B52" i="39"/>
  <c r="B298" i="36"/>
  <c r="F188" i="37"/>
  <c r="B145" i="41"/>
  <c r="F1061" i="39"/>
  <c r="B97" i="38"/>
  <c r="B372" i="39"/>
  <c r="K200" i="38"/>
  <c r="R268" i="39"/>
  <c r="B211" i="46"/>
  <c r="F136" i="40"/>
  <c r="G627" i="39"/>
  <c r="F844" i="39"/>
  <c r="G134" i="42"/>
  <c r="B332" i="36"/>
  <c r="B918" i="32"/>
  <c r="B48" i="39"/>
  <c r="C192" i="32"/>
  <c r="B134" i="39"/>
  <c r="F261" i="39"/>
  <c r="J398" i="38"/>
  <c r="B301" i="40"/>
  <c r="G137" i="42"/>
  <c r="N152" i="37"/>
  <c r="J345" i="39"/>
  <c r="N105" i="37"/>
  <c r="F170" i="37"/>
  <c r="F168" i="37"/>
  <c r="F173" i="37"/>
  <c r="F172" i="37"/>
  <c r="F171" i="37"/>
  <c r="F169" i="37"/>
  <c r="B240" i="41"/>
  <c r="F491" i="32"/>
  <c r="B154" i="37"/>
  <c r="F231" i="42"/>
  <c r="F229" i="42"/>
  <c r="B1391" i="33"/>
  <c r="K90" i="37"/>
  <c r="B192" i="32"/>
  <c r="C410" i="34"/>
  <c r="J197" i="38"/>
  <c r="B129" i="38"/>
  <c r="J134" i="41"/>
  <c r="F746" i="34"/>
  <c r="C197" i="41"/>
  <c r="J349" i="39"/>
  <c r="F1058" i="39"/>
  <c r="B126" i="38"/>
  <c r="B714" i="39"/>
  <c r="F669" i="39"/>
  <c r="F383" i="34"/>
  <c r="B175" i="46"/>
  <c r="J49" i="39"/>
  <c r="F439" i="39"/>
  <c r="F183" i="37"/>
  <c r="N170" i="37"/>
  <c r="N169" i="37"/>
  <c r="N171" i="37"/>
  <c r="N172" i="37"/>
  <c r="N173" i="37"/>
  <c r="O172" i="37"/>
  <c r="N168" i="37"/>
  <c r="O173" i="37"/>
  <c r="O171" i="37"/>
  <c r="O169" i="37"/>
  <c r="O170" i="37"/>
  <c r="B245" i="41"/>
  <c r="B141" i="41"/>
  <c r="B34" i="41"/>
  <c r="F490" i="32"/>
  <c r="B153" i="37"/>
  <c r="F227" i="42"/>
  <c r="C1395" i="33"/>
  <c r="C1393" i="33"/>
  <c r="F214" i="38"/>
  <c r="F185" i="38"/>
  <c r="B93" i="38"/>
  <c r="C1060" i="39"/>
  <c r="B375" i="39"/>
  <c r="B671" i="32"/>
  <c r="J132" i="41"/>
  <c r="B161" i="32"/>
  <c r="B316" i="36"/>
  <c r="F1775" i="33"/>
  <c r="H425" i="41"/>
  <c r="F234" i="38"/>
  <c r="F232" i="38"/>
  <c r="F235" i="38"/>
  <c r="F231" i="38"/>
  <c r="F233" i="38"/>
  <c r="F236" i="38"/>
  <c r="B116" i="42"/>
  <c r="B144" i="41"/>
  <c r="B36" i="41"/>
  <c r="F363" i="38"/>
  <c r="B152" i="37"/>
  <c r="G231" i="42"/>
  <c r="C1391" i="33"/>
  <c r="B1394" i="33"/>
  <c r="B69" i="42"/>
  <c r="K91" i="37"/>
  <c r="K89" i="37"/>
  <c r="G790" i="32"/>
  <c r="B190" i="32"/>
  <c r="F186" i="38"/>
  <c r="G184" i="38"/>
  <c r="C411" i="34"/>
  <c r="C408" i="34"/>
  <c r="B94" i="38"/>
  <c r="B1057" i="39"/>
  <c r="B374" i="39"/>
  <c r="F31" i="39"/>
  <c r="K199" i="38"/>
  <c r="J198" i="38"/>
  <c r="B937" i="39"/>
  <c r="B137" i="39"/>
  <c r="N229" i="42"/>
  <c r="B128" i="38"/>
  <c r="B673" i="32"/>
  <c r="G289" i="37"/>
  <c r="F288" i="37"/>
  <c r="G299" i="41"/>
  <c r="F263" i="39"/>
  <c r="C210" i="46"/>
  <c r="B712" i="39"/>
  <c r="F822" i="32"/>
  <c r="J136" i="41"/>
  <c r="F150" i="32"/>
  <c r="F137" i="40"/>
  <c r="N86" i="40"/>
  <c r="K399" i="38"/>
  <c r="J400" i="38"/>
  <c r="F715" i="39"/>
  <c r="B120" i="34"/>
  <c r="F628" i="39"/>
  <c r="B159" i="32"/>
  <c r="F742" i="34"/>
  <c r="J1778" i="33"/>
  <c r="B978" i="32"/>
  <c r="B305" i="40"/>
  <c r="F380" i="34"/>
  <c r="K380" i="38"/>
  <c r="K379" i="38"/>
  <c r="J842" i="39"/>
  <c r="J139" i="40"/>
  <c r="K139" i="40"/>
  <c r="C405" i="36"/>
  <c r="G139" i="42"/>
  <c r="C176" i="46"/>
  <c r="B109" i="39"/>
  <c r="B198" i="41"/>
  <c r="F1779" i="33"/>
  <c r="G294" i="36"/>
  <c r="F297" i="36"/>
  <c r="N153" i="37"/>
  <c r="C335" i="36"/>
  <c r="J53" i="39"/>
  <c r="F154" i="37"/>
  <c r="B483" i="37"/>
  <c r="C298" i="46"/>
  <c r="B299" i="46"/>
  <c r="J168" i="41"/>
  <c r="F105" i="37"/>
  <c r="J350" i="39"/>
  <c r="J86" i="42"/>
  <c r="B107" i="37"/>
  <c r="B480" i="38"/>
  <c r="B440" i="39"/>
  <c r="J87" i="42"/>
  <c r="N108" i="37"/>
  <c r="B296" i="36"/>
  <c r="F187" i="37"/>
  <c r="B331" i="36"/>
  <c r="B485" i="37"/>
  <c r="J167" i="41"/>
  <c r="J347" i="39"/>
  <c r="B110" i="37"/>
  <c r="J88" i="42"/>
  <c r="N107" i="37"/>
  <c r="J88" i="37"/>
  <c r="G287" i="37"/>
  <c r="F145" i="41"/>
  <c r="B982" i="32"/>
  <c r="J138" i="40"/>
  <c r="F293" i="36"/>
  <c r="F152" i="37"/>
  <c r="F440" i="39"/>
  <c r="B295" i="36"/>
  <c r="G186" i="38"/>
  <c r="J200" i="38"/>
  <c r="F286" i="37"/>
  <c r="F141" i="40"/>
  <c r="J1777" i="33"/>
  <c r="K140" i="40"/>
  <c r="G298" i="36"/>
  <c r="C302" i="46"/>
  <c r="B442" i="39"/>
  <c r="J232" i="38"/>
  <c r="K232" i="38"/>
  <c r="J234" i="38"/>
  <c r="K233" i="38"/>
  <c r="J236" i="38"/>
  <c r="K235" i="38"/>
  <c r="J235" i="38"/>
  <c r="K236" i="38"/>
  <c r="K234" i="38"/>
  <c r="J231" i="38"/>
  <c r="J233" i="38"/>
  <c r="B112" i="42"/>
  <c r="B142" i="41"/>
  <c r="B31" i="41"/>
  <c r="F365" i="38"/>
  <c r="B150" i="37"/>
  <c r="G229" i="42"/>
  <c r="B1395" i="33"/>
  <c r="B1392" i="33"/>
  <c r="B67" i="42"/>
  <c r="J89" i="37"/>
  <c r="F787" i="32"/>
  <c r="G789" i="32"/>
  <c r="B193" i="32"/>
  <c r="G182" i="38"/>
  <c r="G183" i="38"/>
  <c r="C407" i="34"/>
  <c r="B407" i="34"/>
  <c r="C1061" i="39"/>
  <c r="C1057" i="39"/>
  <c r="B371" i="39"/>
  <c r="F26" i="39"/>
  <c r="J201" i="38"/>
  <c r="B1588" i="33"/>
  <c r="B933" i="39"/>
  <c r="B135" i="39"/>
  <c r="O228" i="42"/>
  <c r="B124" i="38"/>
  <c r="B670" i="32"/>
  <c r="G288" i="37"/>
  <c r="G290" i="37"/>
  <c r="F295" i="41"/>
  <c r="F262" i="39"/>
  <c r="C207" i="46"/>
  <c r="B717" i="39"/>
  <c r="F818" i="32"/>
  <c r="B35" i="37"/>
  <c r="F149" i="32"/>
  <c r="F138" i="40"/>
  <c r="F143" i="41"/>
  <c r="J399" i="38"/>
  <c r="J395" i="38"/>
  <c r="F716" i="39"/>
  <c r="B117" i="34"/>
  <c r="G629" i="39"/>
  <c r="B158" i="32"/>
  <c r="F741" i="34"/>
  <c r="K1776" i="33"/>
  <c r="B980" i="32"/>
  <c r="B304" i="40"/>
  <c r="F843" i="39"/>
  <c r="K381" i="38"/>
  <c r="J380" i="38"/>
  <c r="J846" i="39"/>
  <c r="J141" i="40"/>
  <c r="C408" i="36"/>
  <c r="C407" i="36"/>
  <c r="G135" i="42"/>
  <c r="B174" i="46"/>
  <c r="B108" i="39"/>
  <c r="C200" i="41"/>
  <c r="F1778" i="33"/>
  <c r="F298" i="36"/>
  <c r="N151" i="37"/>
  <c r="O154" i="37"/>
  <c r="J50" i="39"/>
  <c r="F151" i="37"/>
  <c r="C299" i="46"/>
  <c r="B916" i="32"/>
  <c r="F109" i="37"/>
  <c r="J153" i="37"/>
  <c r="B481" i="38"/>
  <c r="B51" i="39"/>
  <c r="B297" i="36"/>
  <c r="B194" i="32"/>
  <c r="O229" i="42"/>
  <c r="F264" i="39"/>
  <c r="N82" i="40"/>
  <c r="F627" i="39"/>
  <c r="F384" i="34"/>
  <c r="B408" i="36"/>
  <c r="O151" i="37"/>
  <c r="C301" i="46"/>
  <c r="B444" i="39"/>
  <c r="F184" i="37"/>
  <c r="B410" i="34"/>
  <c r="B28" i="39"/>
  <c r="R271" i="39"/>
  <c r="F152" i="32"/>
  <c r="G630" i="39"/>
  <c r="J378" i="38"/>
  <c r="C199" i="41"/>
  <c r="F168" i="41"/>
  <c r="B478" i="38"/>
  <c r="B241" i="41"/>
  <c r="B114" i="42"/>
  <c r="B143" i="41"/>
  <c r="F486" i="32"/>
  <c r="F361" i="38"/>
  <c r="B155" i="37"/>
  <c r="G232" i="42"/>
  <c r="B1393" i="33"/>
  <c r="F218" i="38"/>
  <c r="B71" i="42"/>
  <c r="K88" i="37"/>
  <c r="F790" i="32"/>
  <c r="G788" i="32"/>
  <c r="B191" i="32"/>
  <c r="F183" i="38"/>
  <c r="F1059" i="39"/>
  <c r="B409" i="34"/>
  <c r="B406" i="34"/>
  <c r="B1058" i="39"/>
  <c r="C1059" i="39"/>
  <c r="B26" i="39"/>
  <c r="F29" i="39"/>
  <c r="K201" i="38"/>
  <c r="B1586" i="33"/>
  <c r="B932" i="39"/>
  <c r="B136" i="39"/>
  <c r="O230" i="42"/>
  <c r="B127" i="38"/>
  <c r="R269" i="39"/>
  <c r="G286" i="37"/>
  <c r="F290" i="37"/>
  <c r="G297" i="41"/>
  <c r="F265" i="39"/>
  <c r="B208" i="46"/>
  <c r="B713" i="39"/>
  <c r="F817" i="32"/>
  <c r="B33" i="37"/>
  <c r="F153" i="32"/>
  <c r="F139" i="40"/>
  <c r="F141" i="41"/>
  <c r="K397" i="38"/>
  <c r="F665" i="39"/>
  <c r="F714" i="39"/>
  <c r="B116" i="34"/>
  <c r="F625" i="39"/>
  <c r="B157" i="32"/>
  <c r="F744" i="34"/>
  <c r="J1775" i="33"/>
  <c r="B977" i="32"/>
  <c r="B303" i="40"/>
  <c r="F841" i="39"/>
  <c r="J379" i="38"/>
  <c r="B318" i="36"/>
  <c r="J844" i="39"/>
  <c r="J137" i="40"/>
  <c r="B407" i="36"/>
  <c r="B409" i="36"/>
  <c r="C175" i="46"/>
  <c r="C177" i="46"/>
  <c r="B107" i="39"/>
  <c r="C198" i="41"/>
  <c r="F1777" i="33"/>
  <c r="F295" i="36"/>
  <c r="N155" i="37"/>
  <c r="N154" i="37"/>
  <c r="B333" i="36"/>
  <c r="J48" i="39"/>
  <c r="F165" i="41"/>
  <c r="B486" i="37"/>
  <c r="C300" i="46"/>
  <c r="B920" i="32"/>
  <c r="J163" i="41"/>
  <c r="F107" i="37"/>
  <c r="F444" i="39"/>
  <c r="J154" i="37"/>
  <c r="B105" i="37"/>
  <c r="B482" i="38"/>
  <c r="N345" i="39"/>
  <c r="B53" i="39"/>
  <c r="N109" i="37"/>
  <c r="B293" i="36"/>
  <c r="B334" i="36"/>
  <c r="B488" i="37"/>
  <c r="J164" i="41"/>
  <c r="F108" i="37"/>
  <c r="J150" i="37"/>
  <c r="N349" i="39"/>
  <c r="N106" i="37"/>
  <c r="F217" i="38"/>
  <c r="F299" i="41"/>
  <c r="J397" i="38"/>
  <c r="B306" i="40"/>
  <c r="J136" i="40"/>
  <c r="G296" i="36"/>
  <c r="F166" i="41"/>
  <c r="J89" i="42"/>
  <c r="J92" i="37"/>
  <c r="K202" i="38"/>
  <c r="G296" i="41"/>
  <c r="N84" i="40"/>
  <c r="F743" i="34"/>
  <c r="K141" i="40"/>
  <c r="G295" i="36"/>
  <c r="B301" i="46"/>
  <c r="N350" i="39"/>
  <c r="B243" i="41"/>
  <c r="B115" i="42"/>
  <c r="B140" i="41"/>
  <c r="F488" i="32"/>
  <c r="F362" i="38"/>
  <c r="B151" i="37"/>
  <c r="G228" i="42"/>
  <c r="C1392" i="33"/>
  <c r="F216" i="38"/>
  <c r="B68" i="42"/>
  <c r="J91" i="37"/>
  <c r="F792" i="32"/>
  <c r="F789" i="32"/>
  <c r="C193" i="32"/>
  <c r="F184" i="38"/>
  <c r="F1060" i="39"/>
  <c r="B408" i="34"/>
  <c r="B96" i="38"/>
  <c r="B1060" i="39"/>
  <c r="B1059" i="39"/>
  <c r="B30" i="39"/>
  <c r="F27" i="39"/>
  <c r="J199" i="38"/>
  <c r="B1590" i="33"/>
  <c r="B936" i="39"/>
  <c r="N228" i="42"/>
  <c r="N230" i="42"/>
  <c r="B125" i="38"/>
  <c r="R270" i="39"/>
  <c r="F285" i="37"/>
  <c r="G295" i="41"/>
  <c r="F298" i="41"/>
  <c r="F260" i="39"/>
  <c r="C211" i="46"/>
  <c r="B716" i="39"/>
  <c r="J135" i="41"/>
  <c r="B34" i="37"/>
  <c r="F154" i="32"/>
  <c r="N87" i="40"/>
  <c r="F144" i="41"/>
  <c r="K396" i="38"/>
  <c r="F667" i="39"/>
  <c r="F712" i="39"/>
  <c r="B119" i="34"/>
  <c r="G628" i="39"/>
  <c r="B162" i="32"/>
  <c r="K1779" i="33"/>
  <c r="K1777" i="33"/>
  <c r="B979" i="32"/>
  <c r="F379" i="34"/>
  <c r="F846" i="39"/>
  <c r="J382" i="38"/>
  <c r="B315" i="36"/>
  <c r="J841" i="39"/>
  <c r="K137" i="40"/>
  <c r="C406" i="36"/>
  <c r="C409" i="36"/>
  <c r="B173" i="46"/>
  <c r="B177" i="46"/>
  <c r="B196" i="41"/>
  <c r="B195" i="41"/>
  <c r="F1776" i="33"/>
  <c r="G297" i="36"/>
  <c r="O152" i="37"/>
  <c r="C334" i="36"/>
  <c r="J52" i="39"/>
  <c r="F167" i="41"/>
  <c r="B298" i="46"/>
  <c r="B919" i="32"/>
  <c r="F443" i="39"/>
  <c r="B106" i="37"/>
  <c r="B441" i="39"/>
  <c r="B49" i="39"/>
  <c r="F185" i="37"/>
  <c r="G791" i="32"/>
  <c r="B133" i="39"/>
  <c r="F819" i="32"/>
  <c r="F670" i="39"/>
  <c r="J1779" i="33"/>
  <c r="B314" i="36"/>
  <c r="B106" i="39"/>
  <c r="O155" i="37"/>
  <c r="B302" i="46"/>
  <c r="B483" i="38"/>
  <c r="K92" i="37"/>
  <c r="N231" i="42"/>
  <c r="F821" i="32"/>
  <c r="B121" i="34"/>
  <c r="J381" i="38"/>
  <c r="B111" i="39"/>
  <c r="F150" i="37"/>
  <c r="B109" i="37"/>
  <c r="B242" i="41"/>
  <c r="B117" i="42"/>
  <c r="B35" i="41"/>
  <c r="F489" i="32"/>
  <c r="F364" i="38"/>
  <c r="F232" i="42"/>
  <c r="F230" i="42"/>
  <c r="B1390" i="33"/>
  <c r="F215" i="38"/>
  <c r="B72" i="42"/>
  <c r="J87" i="37"/>
  <c r="G792" i="32"/>
  <c r="B195" i="32"/>
  <c r="C195" i="32"/>
  <c r="F181" i="38"/>
  <c r="F1057" i="39"/>
  <c r="B411" i="34"/>
  <c r="B95" i="38"/>
  <c r="C1058" i="39"/>
  <c r="B370" i="39"/>
  <c r="B29" i="39"/>
  <c r="F28" i="39"/>
  <c r="K198" i="38"/>
  <c r="B1585" i="33"/>
  <c r="B935" i="39"/>
  <c r="N227" i="42"/>
  <c r="N232" i="42"/>
  <c r="B672" i="32"/>
  <c r="R272" i="39"/>
  <c r="F289" i="37"/>
  <c r="F296" i="41"/>
  <c r="F297" i="41"/>
  <c r="C209" i="46"/>
  <c r="B210" i="46"/>
  <c r="B715" i="39"/>
  <c r="J133" i="41"/>
  <c r="B38" i="37"/>
  <c r="F151" i="32"/>
  <c r="N85" i="40"/>
  <c r="F142" i="41"/>
  <c r="K398" i="38"/>
  <c r="F666" i="39"/>
  <c r="F713" i="39"/>
  <c r="F629" i="39"/>
  <c r="G626" i="39"/>
  <c r="B160" i="32"/>
  <c r="K1778" i="33"/>
  <c r="K1775" i="33"/>
  <c r="J151" i="37"/>
  <c r="F382" i="34"/>
  <c r="F842" i="39"/>
  <c r="J383" i="38"/>
  <c r="B317" i="36"/>
  <c r="J843" i="39"/>
  <c r="J140" i="40"/>
  <c r="B405" i="36"/>
  <c r="G138" i="42"/>
  <c r="B172" i="46"/>
  <c r="C174" i="46"/>
  <c r="B200" i="41"/>
  <c r="B199" i="41"/>
  <c r="F1774" i="33"/>
  <c r="F296" i="36"/>
  <c r="N150" i="37"/>
  <c r="C336" i="36"/>
  <c r="B335" i="36"/>
  <c r="F155" i="37"/>
  <c r="F164" i="41"/>
  <c r="B487" i="37"/>
  <c r="B300" i="46"/>
  <c r="B921" i="32"/>
  <c r="J166" i="41"/>
  <c r="J348" i="39"/>
  <c r="F441" i="39"/>
  <c r="J155" i="37"/>
  <c r="B108" i="37"/>
  <c r="B439" i="39"/>
  <c r="N348" i="39"/>
  <c r="B50" i="39"/>
  <c r="N110" i="37"/>
  <c r="F186" i="37"/>
  <c r="B32" i="41"/>
  <c r="G185" i="38"/>
  <c r="B1061" i="39"/>
  <c r="B31" i="39"/>
  <c r="B1587" i="33"/>
  <c r="B674" i="32"/>
  <c r="B207" i="46"/>
  <c r="B37" i="37"/>
  <c r="B118" i="34"/>
  <c r="K382" i="38"/>
  <c r="B176" i="46"/>
  <c r="J51" i="39"/>
  <c r="F110" i="37"/>
  <c r="N346" i="39"/>
  <c r="F791" i="32"/>
  <c r="B934" i="39"/>
  <c r="B206" i="46"/>
  <c r="J396" i="38"/>
  <c r="B981" i="32"/>
  <c r="B404" i="36"/>
  <c r="C332" i="36"/>
  <c r="F106" i="37"/>
  <c r="B294" i="36"/>
  <c r="E737" i="37" l="1"/>
  <c r="G742" i="37" s="1"/>
  <c r="C742" i="37"/>
  <c r="E735" i="37"/>
  <c r="C73" i="37"/>
  <c r="C216" i="40"/>
  <c r="G216" i="40"/>
  <c r="H148" i="37"/>
  <c r="W150" i="37" s="1"/>
  <c r="H144" i="32"/>
  <c r="G157" i="32" s="1"/>
  <c r="D157" i="41"/>
  <c r="K214" i="38"/>
  <c r="C344" i="41"/>
  <c r="H610" i="37"/>
  <c r="E160" i="41"/>
  <c r="C549" i="37"/>
  <c r="C720" i="39"/>
  <c r="F708" i="39"/>
  <c r="G314" i="36"/>
  <c r="A428" i="39"/>
  <c r="D424" i="39" s="1"/>
  <c r="D425" i="39" s="1"/>
  <c r="H421" i="39" s="1"/>
  <c r="H423" i="39"/>
  <c r="E365" i="39"/>
  <c r="G370" i="39"/>
  <c r="I824" i="37"/>
  <c r="I826" i="37" s="1"/>
  <c r="I823" i="37"/>
  <c r="I819" i="37"/>
  <c r="I820" i="37" s="1"/>
  <c r="I816" i="37"/>
  <c r="E818" i="37"/>
  <c r="I817" i="37"/>
  <c r="C124" i="46"/>
  <c r="G245" i="37"/>
  <c r="I248" i="36"/>
  <c r="I249" i="36" s="1"/>
  <c r="K257" i="36" s="1"/>
  <c r="F121" i="38"/>
  <c r="G124" i="38" s="1"/>
  <c r="C163" i="40"/>
  <c r="C161" i="40"/>
  <c r="G163" i="40" s="1"/>
  <c r="C426" i="38"/>
  <c r="E157" i="41"/>
  <c r="E660" i="39"/>
  <c r="E662" i="39"/>
  <c r="K665" i="39" s="1"/>
  <c r="K183" i="37"/>
  <c r="C143" i="39"/>
  <c r="F710" i="39"/>
  <c r="K712" i="39" s="1"/>
  <c r="K311" i="37"/>
  <c r="G317" i="37"/>
  <c r="E187" i="46"/>
  <c r="E183" i="46"/>
  <c r="E184" i="46" s="1"/>
  <c r="E186" i="46" s="1"/>
  <c r="E185" i="46" s="1"/>
  <c r="E188" i="46" s="1"/>
  <c r="G33" i="37"/>
  <c r="G30" i="37"/>
  <c r="K33" i="37" s="1"/>
  <c r="E159" i="41"/>
  <c r="G66" i="39"/>
  <c r="F66" i="39"/>
  <c r="C70" i="39" s="1"/>
  <c r="A561" i="39"/>
  <c r="E566" i="39" s="1"/>
  <c r="E567" i="39" s="1"/>
  <c r="A562" i="39"/>
  <c r="H566" i="39" s="1"/>
  <c r="E499" i="37"/>
  <c r="E496" i="37"/>
  <c r="E497" i="37" s="1"/>
  <c r="F365" i="34"/>
  <c r="L359" i="34" s="1"/>
  <c r="C387" i="34" s="1"/>
  <c r="G257" i="36"/>
  <c r="C257" i="36"/>
  <c r="H613" i="37"/>
  <c r="F613" i="37"/>
  <c r="G248" i="38"/>
  <c r="C379" i="34"/>
  <c r="I360" i="34"/>
  <c r="O371" i="34" s="1"/>
  <c r="G146" i="39"/>
  <c r="G144" i="39" s="1"/>
  <c r="G513" i="39"/>
  <c r="A523" i="39"/>
  <c r="G515" i="39"/>
  <c r="G516" i="39" s="1"/>
  <c r="G191" i="40"/>
  <c r="G192" i="40" s="1"/>
  <c r="K199" i="40" s="1"/>
  <c r="K314" i="36"/>
  <c r="E310" i="36"/>
  <c r="E311" i="36" s="1"/>
  <c r="O314" i="36" s="1"/>
  <c r="C410" i="38"/>
  <c r="D159" i="41"/>
  <c r="K379" i="34"/>
  <c r="L358" i="34"/>
  <c r="O379" i="34" s="1"/>
  <c r="F425" i="41"/>
  <c r="D78" i="46"/>
  <c r="C80" i="46" s="1"/>
  <c r="M247" i="39"/>
  <c r="I251" i="39"/>
  <c r="M250" i="39"/>
  <c r="O260" i="39" s="1"/>
  <c r="K106" i="39"/>
  <c r="F89" i="39"/>
  <c r="C98" i="39"/>
  <c r="E401" i="41"/>
  <c r="E402" i="41"/>
  <c r="C405" i="41" s="1"/>
  <c r="D160" i="41"/>
  <c r="K105" i="37"/>
  <c r="D158" i="41"/>
  <c r="E158" i="41"/>
  <c r="S150" i="37"/>
  <c r="H386" i="39"/>
  <c r="G387" i="39"/>
  <c r="G388" i="39"/>
  <c r="G389" i="39"/>
  <c r="G745" i="37"/>
  <c r="G743" i="37"/>
  <c r="F742" i="37"/>
  <c r="G744" i="37"/>
  <c r="F747" i="37"/>
  <c r="G747" i="37"/>
  <c r="F746" i="37"/>
  <c r="F743" i="37"/>
  <c r="F745" i="37"/>
  <c r="G746" i="37"/>
  <c r="F744" i="37"/>
  <c r="B216" i="40"/>
  <c r="G219" i="40"/>
  <c r="V152" i="37"/>
  <c r="F157" i="32"/>
  <c r="J217" i="38"/>
  <c r="C552" i="37"/>
  <c r="B720" i="39"/>
  <c r="B722" i="39"/>
  <c r="G315" i="36"/>
  <c r="F370" i="39"/>
  <c r="B126" i="46"/>
  <c r="B129" i="46"/>
  <c r="G249" i="37"/>
  <c r="K262" i="36"/>
  <c r="K258" i="36"/>
  <c r="J714" i="39"/>
  <c r="F168" i="40"/>
  <c r="B430" i="38"/>
  <c r="F319" i="37"/>
  <c r="J665" i="39"/>
  <c r="J183" i="37"/>
  <c r="J37" i="37"/>
  <c r="B382" i="34"/>
  <c r="J383" i="34"/>
  <c r="G260" i="36"/>
  <c r="F261" i="36"/>
  <c r="B262" i="36"/>
  <c r="N319" i="36"/>
  <c r="B410" i="38"/>
  <c r="N384" i="34"/>
  <c r="F248" i="38"/>
  <c r="B74" i="39"/>
  <c r="B390" i="34"/>
  <c r="C390" i="34"/>
  <c r="R153" i="37"/>
  <c r="S152" i="37"/>
  <c r="B408" i="41"/>
  <c r="K108" i="37"/>
  <c r="J111" i="39"/>
  <c r="C81" i="46"/>
  <c r="N265" i="39"/>
  <c r="F314" i="36"/>
  <c r="F248" i="37"/>
  <c r="F163" i="40"/>
  <c r="J33" i="37"/>
  <c r="J316" i="36"/>
  <c r="F253" i="38"/>
  <c r="B103" i="39"/>
  <c r="G247" i="37"/>
  <c r="J381" i="34"/>
  <c r="B70" i="39"/>
  <c r="B84" i="46"/>
  <c r="B745" i="37"/>
  <c r="B744" i="37"/>
  <c r="B742" i="37"/>
  <c r="B746" i="37"/>
  <c r="B743" i="37"/>
  <c r="B747" i="37"/>
  <c r="F218" i="40"/>
  <c r="F160" i="32"/>
  <c r="C550" i="37"/>
  <c r="G316" i="36"/>
  <c r="C128" i="46"/>
  <c r="B164" i="40"/>
  <c r="J670" i="39"/>
  <c r="J382" i="34"/>
  <c r="N372" i="34"/>
  <c r="R150" i="37"/>
  <c r="J106" i="39"/>
  <c r="B168" i="40"/>
  <c r="B257" i="36"/>
  <c r="K109" i="37"/>
  <c r="G220" i="40"/>
  <c r="F216" i="40"/>
  <c r="V153" i="37"/>
  <c r="F162" i="32"/>
  <c r="J216" i="38"/>
  <c r="B551" i="37"/>
  <c r="B721" i="39"/>
  <c r="F318" i="36"/>
  <c r="F319" i="36"/>
  <c r="F124" i="38"/>
  <c r="C129" i="46"/>
  <c r="C126" i="46"/>
  <c r="F247" i="37"/>
  <c r="K259" i="36"/>
  <c r="B163" i="40"/>
  <c r="J713" i="39"/>
  <c r="F166" i="40"/>
  <c r="F317" i="37"/>
  <c r="G320" i="37"/>
  <c r="F37" i="37"/>
  <c r="J187" i="37"/>
  <c r="J38" i="37"/>
  <c r="J204" i="40"/>
  <c r="J379" i="34"/>
  <c r="G258" i="36"/>
  <c r="J317" i="36"/>
  <c r="B259" i="36"/>
  <c r="N316" i="36"/>
  <c r="N376" i="34"/>
  <c r="N381" i="34"/>
  <c r="G251" i="38"/>
  <c r="B75" i="39"/>
  <c r="B388" i="34"/>
  <c r="B101" i="39"/>
  <c r="R152" i="37"/>
  <c r="B405" i="41"/>
  <c r="J108" i="37"/>
  <c r="J109" i="39"/>
  <c r="B83" i="46"/>
  <c r="N262" i="39"/>
  <c r="B550" i="37"/>
  <c r="F129" i="38"/>
  <c r="G322" i="37"/>
  <c r="J185" i="37"/>
  <c r="N373" i="34"/>
  <c r="C78" i="37"/>
  <c r="B76" i="37"/>
  <c r="C77" i="37"/>
  <c r="B78" i="37"/>
  <c r="C75" i="37"/>
  <c r="B74" i="37"/>
  <c r="C76" i="37"/>
  <c r="B77" i="37"/>
  <c r="B75" i="37"/>
  <c r="C74" i="37"/>
  <c r="B73" i="37"/>
  <c r="B221" i="40"/>
  <c r="F221" i="40"/>
  <c r="G218" i="40"/>
  <c r="V150" i="37"/>
  <c r="F158" i="32"/>
  <c r="B549" i="37"/>
  <c r="C551" i="37"/>
  <c r="B723" i="39"/>
  <c r="G317" i="36"/>
  <c r="G319" i="36"/>
  <c r="F127" i="38"/>
  <c r="B125" i="46"/>
  <c r="G248" i="37"/>
  <c r="F246" i="37"/>
  <c r="K260" i="36"/>
  <c r="B166" i="40"/>
  <c r="J716" i="39"/>
  <c r="B429" i="38"/>
  <c r="G319" i="37"/>
  <c r="F320" i="37"/>
  <c r="F34" i="37"/>
  <c r="J188" i="37"/>
  <c r="J34" i="37"/>
  <c r="J202" i="40"/>
  <c r="J384" i="34"/>
  <c r="F259" i="36"/>
  <c r="J314" i="36"/>
  <c r="B261" i="36"/>
  <c r="B413" i="38"/>
  <c r="N374" i="34"/>
  <c r="N380" i="34"/>
  <c r="G249" i="38"/>
  <c r="B72" i="39"/>
  <c r="C391" i="34"/>
  <c r="B100" i="39"/>
  <c r="R154" i="37"/>
  <c r="K107" i="37"/>
  <c r="J107" i="37"/>
  <c r="J110" i="39"/>
  <c r="C83" i="46"/>
  <c r="N260" i="39"/>
  <c r="G217" i="40"/>
  <c r="W151" i="37"/>
  <c r="V155" i="37"/>
  <c r="F159" i="32"/>
  <c r="B553" i="37"/>
  <c r="C721" i="39"/>
  <c r="F375" i="39"/>
  <c r="F250" i="37"/>
  <c r="J669" i="39"/>
  <c r="J199" i="40"/>
  <c r="N383" i="34"/>
  <c r="B218" i="40"/>
  <c r="G318" i="36"/>
  <c r="B128" i="46"/>
  <c r="F33" i="37"/>
  <c r="B415" i="38"/>
  <c r="B102" i="39"/>
  <c r="N264" i="39"/>
  <c r="B219" i="40"/>
  <c r="F220" i="40"/>
  <c r="V154" i="37"/>
  <c r="W155" i="37"/>
  <c r="J215" i="38"/>
  <c r="C554" i="37"/>
  <c r="C553" i="37"/>
  <c r="C725" i="39"/>
  <c r="F316" i="36"/>
  <c r="F374" i="39"/>
  <c r="F126" i="38"/>
  <c r="B124" i="46"/>
  <c r="G250" i="37"/>
  <c r="G246" i="37"/>
  <c r="J260" i="36"/>
  <c r="B165" i="40"/>
  <c r="F167" i="40"/>
  <c r="B426" i="38"/>
  <c r="G318" i="37"/>
  <c r="J666" i="39"/>
  <c r="F38" i="37"/>
  <c r="J186" i="37"/>
  <c r="B380" i="34"/>
  <c r="J200" i="40"/>
  <c r="J380" i="34"/>
  <c r="F257" i="36"/>
  <c r="J315" i="36"/>
  <c r="N317" i="36"/>
  <c r="B414" i="38"/>
  <c r="N375" i="34"/>
  <c r="F249" i="38"/>
  <c r="G250" i="38"/>
  <c r="B73" i="39"/>
  <c r="B387" i="34"/>
  <c r="B99" i="39"/>
  <c r="S154" i="37"/>
  <c r="B407" i="41"/>
  <c r="K106" i="37"/>
  <c r="J105" i="37"/>
  <c r="B80" i="46"/>
  <c r="C82" i="46"/>
  <c r="F322" i="37"/>
  <c r="N314" i="36"/>
  <c r="S151" i="37"/>
  <c r="C84" i="46"/>
  <c r="J261" i="36"/>
  <c r="J318" i="36"/>
  <c r="R151" i="37"/>
  <c r="B220" i="40"/>
  <c r="G221" i="40"/>
  <c r="W154" i="37"/>
  <c r="V151" i="37"/>
  <c r="J219" i="38"/>
  <c r="B554" i="37"/>
  <c r="B724" i="39"/>
  <c r="C724" i="39"/>
  <c r="F315" i="36"/>
  <c r="F371" i="39"/>
  <c r="F128" i="38"/>
  <c r="C125" i="46"/>
  <c r="F249" i="37"/>
  <c r="J259" i="36"/>
  <c r="J258" i="36"/>
  <c r="B167" i="40"/>
  <c r="F164" i="40"/>
  <c r="B427" i="38"/>
  <c r="F318" i="37"/>
  <c r="J667" i="39"/>
  <c r="F36" i="37"/>
  <c r="J36" i="37"/>
  <c r="B381" i="34"/>
  <c r="J201" i="40"/>
  <c r="G261" i="36"/>
  <c r="F258" i="36"/>
  <c r="J319" i="36"/>
  <c r="N318" i="36"/>
  <c r="B412" i="38"/>
  <c r="N371" i="34"/>
  <c r="F250" i="38"/>
  <c r="F252" i="38"/>
  <c r="C392" i="34"/>
  <c r="C388" i="34"/>
  <c r="B98" i="39"/>
  <c r="S155" i="37"/>
  <c r="B406" i="41"/>
  <c r="J106" i="37"/>
  <c r="J108" i="39"/>
  <c r="C85" i="46"/>
  <c r="B81" i="46"/>
  <c r="W152" i="37"/>
  <c r="K261" i="36"/>
  <c r="G321" i="37"/>
  <c r="B379" i="34"/>
  <c r="B258" i="36"/>
  <c r="B71" i="39"/>
  <c r="K110" i="37"/>
  <c r="J717" i="39"/>
  <c r="G259" i="36"/>
  <c r="C389" i="34"/>
  <c r="B82" i="46"/>
  <c r="B217" i="40"/>
  <c r="F217" i="40"/>
  <c r="W153" i="37"/>
  <c r="F161" i="32"/>
  <c r="J214" i="38"/>
  <c r="B552" i="37"/>
  <c r="C723" i="39"/>
  <c r="C722" i="39"/>
  <c r="F317" i="36"/>
  <c r="F373" i="39"/>
  <c r="F125" i="38"/>
  <c r="C127" i="46"/>
  <c r="F245" i="37"/>
  <c r="J262" i="36"/>
  <c r="J257" i="36"/>
  <c r="J712" i="39"/>
  <c r="F165" i="40"/>
  <c r="B428" i="38"/>
  <c r="F321" i="37"/>
  <c r="J668" i="39"/>
  <c r="F35" i="37"/>
  <c r="J35" i="37"/>
  <c r="B384" i="34"/>
  <c r="J203" i="40"/>
  <c r="G262" i="36"/>
  <c r="F260" i="36"/>
  <c r="B260" i="36"/>
  <c r="N315" i="36"/>
  <c r="B411" i="38"/>
  <c r="N379" i="34"/>
  <c r="G253" i="38"/>
  <c r="F251" i="38"/>
  <c r="B392" i="34"/>
  <c r="B391" i="34"/>
  <c r="S153" i="37"/>
  <c r="R155" i="37"/>
  <c r="B409" i="41"/>
  <c r="J110" i="37"/>
  <c r="J107" i="39"/>
  <c r="B85" i="46"/>
  <c r="N263" i="39"/>
  <c r="F219" i="40"/>
  <c r="J218" i="38"/>
  <c r="B725" i="39"/>
  <c r="F372" i="39"/>
  <c r="B127" i="46"/>
  <c r="J715" i="39"/>
  <c r="J184" i="37"/>
  <c r="F262" i="36"/>
  <c r="N382" i="34"/>
  <c r="B389" i="34"/>
  <c r="B410" i="41"/>
  <c r="N261" i="39"/>
  <c r="B431" i="38"/>
  <c r="B383" i="34"/>
  <c r="G252" i="38"/>
  <c r="J109" i="37"/>
  <c r="G405" i="41" l="1"/>
  <c r="G199" i="40"/>
  <c r="H562" i="39"/>
  <c r="I346" i="41"/>
  <c r="H354" i="41" s="1"/>
  <c r="F347" i="41"/>
  <c r="G343" i="41"/>
  <c r="G349" i="41" s="1"/>
  <c r="F344" i="41"/>
  <c r="G344" i="41" s="1"/>
  <c r="F345" i="41"/>
  <c r="G345" i="41" s="1"/>
  <c r="F346" i="41"/>
  <c r="G346" i="41" s="1"/>
  <c r="C199" i="40"/>
  <c r="K830" i="37"/>
  <c r="I821" i="37"/>
  <c r="C191" i="46"/>
  <c r="E366" i="39"/>
  <c r="O370" i="39" s="1"/>
  <c r="E367" i="39"/>
  <c r="K370" i="39" s="1"/>
  <c r="H614" i="37"/>
  <c r="F615" i="37"/>
  <c r="H616" i="37" s="1"/>
  <c r="G830" i="37"/>
  <c r="E820" i="37"/>
  <c r="C830" i="37"/>
  <c r="H422" i="39"/>
  <c r="H424" i="39" s="1"/>
  <c r="G431" i="39"/>
  <c r="H320" i="37"/>
  <c r="H322" i="37"/>
  <c r="H318" i="37"/>
  <c r="H319" i="37"/>
  <c r="H321" i="37"/>
  <c r="C665" i="39"/>
  <c r="F662" i="39"/>
  <c r="C163" i="41"/>
  <c r="K250" i="36"/>
  <c r="K249" i="36"/>
  <c r="K248" i="36"/>
  <c r="K252" i="36"/>
  <c r="K251" i="36"/>
  <c r="A519" i="39"/>
  <c r="E523" i="39" s="1"/>
  <c r="A520" i="39"/>
  <c r="H567" i="39"/>
  <c r="K571" i="39"/>
  <c r="H565" i="39"/>
  <c r="H563" i="39"/>
  <c r="G148" i="39"/>
  <c r="G149" i="39" s="1"/>
  <c r="E563" i="39"/>
  <c r="E565" i="39"/>
  <c r="E562" i="39"/>
  <c r="E495" i="37"/>
  <c r="E500" i="37" s="1"/>
  <c r="H500" i="37" s="1"/>
  <c r="G391" i="39"/>
  <c r="G390" i="39"/>
  <c r="M248" i="39"/>
  <c r="C260" i="39" s="1"/>
  <c r="K260" i="39"/>
  <c r="I253" i="39"/>
  <c r="I254" i="39" s="1"/>
  <c r="I328" i="37"/>
  <c r="J575" i="39"/>
  <c r="J831" i="37"/>
  <c r="B163" i="41"/>
  <c r="F409" i="41"/>
  <c r="G408" i="41"/>
  <c r="G407" i="41"/>
  <c r="F408" i="41"/>
  <c r="F407" i="41"/>
  <c r="G409" i="41"/>
  <c r="F410" i="41"/>
  <c r="F406" i="41"/>
  <c r="G406" i="41"/>
  <c r="G410" i="41"/>
  <c r="F405" i="41"/>
  <c r="G200" i="40"/>
  <c r="B199" i="40"/>
  <c r="B200" i="40"/>
  <c r="J830" i="37"/>
  <c r="C194" i="46"/>
  <c r="N374" i="39"/>
  <c r="J373" i="39"/>
  <c r="F433" i="39"/>
  <c r="G833" i="37"/>
  <c r="B832" i="37"/>
  <c r="B166" i="41"/>
  <c r="J572" i="39"/>
  <c r="B264" i="39"/>
  <c r="F203" i="40"/>
  <c r="N375" i="39"/>
  <c r="F834" i="37"/>
  <c r="F204" i="40"/>
  <c r="C203" i="40"/>
  <c r="J834" i="37"/>
  <c r="K835" i="37"/>
  <c r="C192" i="46"/>
  <c r="N370" i="39"/>
  <c r="J370" i="39"/>
  <c r="G832" i="37"/>
  <c r="F831" i="37"/>
  <c r="B665" i="39"/>
  <c r="B164" i="41"/>
  <c r="J576" i="39"/>
  <c r="J265" i="39"/>
  <c r="B668" i="39"/>
  <c r="J260" i="39"/>
  <c r="B191" i="46"/>
  <c r="B831" i="37"/>
  <c r="F434" i="39"/>
  <c r="K833" i="37"/>
  <c r="J573" i="39"/>
  <c r="G201" i="40"/>
  <c r="F202" i="40"/>
  <c r="C201" i="40"/>
  <c r="K832" i="37"/>
  <c r="K831" i="37"/>
  <c r="B192" i="46"/>
  <c r="N372" i="39"/>
  <c r="F436" i="39"/>
  <c r="F830" i="37"/>
  <c r="F833" i="37"/>
  <c r="B666" i="39"/>
  <c r="B168" i="41"/>
  <c r="J571" i="39"/>
  <c r="J262" i="39"/>
  <c r="B195" i="46"/>
  <c r="F432" i="39"/>
  <c r="B830" i="37"/>
  <c r="B265" i="39"/>
  <c r="B202" i="40"/>
  <c r="J372" i="39"/>
  <c r="B670" i="39"/>
  <c r="C202" i="40"/>
  <c r="J374" i="39"/>
  <c r="B260" i="39"/>
  <c r="F201" i="40"/>
  <c r="G203" i="40"/>
  <c r="C204" i="40"/>
  <c r="J833" i="37"/>
  <c r="C193" i="46"/>
  <c r="C195" i="46"/>
  <c r="N371" i="39"/>
  <c r="F431" i="39"/>
  <c r="F835" i="37"/>
  <c r="B835" i="37"/>
  <c r="B669" i="39"/>
  <c r="B167" i="41"/>
  <c r="B261" i="39"/>
  <c r="J261" i="39"/>
  <c r="F200" i="40"/>
  <c r="G202" i="40"/>
  <c r="B204" i="40"/>
  <c r="J835" i="37"/>
  <c r="C196" i="46"/>
  <c r="J371" i="39"/>
  <c r="G834" i="37"/>
  <c r="B165" i="41"/>
  <c r="C200" i="40"/>
  <c r="F435" i="39"/>
  <c r="J574" i="39"/>
  <c r="B193" i="46"/>
  <c r="G835" i="37"/>
  <c r="B263" i="39"/>
  <c r="B194" i="46"/>
  <c r="B833" i="37"/>
  <c r="J263" i="39"/>
  <c r="B203" i="40"/>
  <c r="N373" i="39"/>
  <c r="B834" i="37"/>
  <c r="J264" i="39"/>
  <c r="G204" i="40"/>
  <c r="J832" i="37"/>
  <c r="B196" i="46"/>
  <c r="F832" i="37"/>
  <c r="B262" i="39"/>
  <c r="F199" i="40"/>
  <c r="B201" i="40"/>
  <c r="K834" i="37"/>
  <c r="J375" i="39"/>
  <c r="B667" i="39"/>
  <c r="G831" i="37"/>
  <c r="G347" i="41" l="1"/>
  <c r="E353" i="41"/>
  <c r="C617" i="37"/>
  <c r="C431" i="39"/>
  <c r="H425" i="39"/>
  <c r="K431" i="39" s="1"/>
  <c r="C393" i="39"/>
  <c r="G153" i="39"/>
  <c r="C169" i="39" s="1"/>
  <c r="E526" i="39"/>
  <c r="K529" i="39" s="1"/>
  <c r="E524" i="39"/>
  <c r="G537" i="39" s="1"/>
  <c r="E568" i="39"/>
  <c r="E564" i="39"/>
  <c r="C571" i="39" s="1"/>
  <c r="E498" i="37"/>
  <c r="C503" i="37"/>
  <c r="G503" i="37"/>
  <c r="H524" i="39"/>
  <c r="H519" i="39"/>
  <c r="H522" i="39"/>
  <c r="H523" i="39"/>
  <c r="H526" i="39" s="1"/>
  <c r="C545" i="39" s="1"/>
  <c r="H520" i="39"/>
  <c r="A158" i="39"/>
  <c r="G150" i="39"/>
  <c r="G151" i="39" s="1"/>
  <c r="E522" i="39"/>
  <c r="E519" i="39"/>
  <c r="C529" i="39"/>
  <c r="E520" i="39"/>
  <c r="H568" i="39"/>
  <c r="H564" i="39"/>
  <c r="R243" i="39"/>
  <c r="C268" i="39"/>
  <c r="I256" i="39"/>
  <c r="I255" i="39"/>
  <c r="G268" i="39" s="1"/>
  <c r="B621" i="37"/>
  <c r="B431" i="39"/>
  <c r="J432" i="39"/>
  <c r="B397" i="39"/>
  <c r="J532" i="39"/>
  <c r="B530" i="39"/>
  <c r="B573" i="39"/>
  <c r="B547" i="39"/>
  <c r="B504" i="37"/>
  <c r="F506" i="37"/>
  <c r="B272" i="39"/>
  <c r="B620" i="37"/>
  <c r="F537" i="39"/>
  <c r="B270" i="39"/>
  <c r="B622" i="37"/>
  <c r="B172" i="39"/>
  <c r="F542" i="39"/>
  <c r="B545" i="39"/>
  <c r="J529" i="39"/>
  <c r="B618" i="37"/>
  <c r="J433" i="39"/>
  <c r="B171" i="39"/>
  <c r="B398" i="39"/>
  <c r="B529" i="39"/>
  <c r="F540" i="39"/>
  <c r="B576" i="39"/>
  <c r="B507" i="37"/>
  <c r="F507" i="37"/>
  <c r="G504" i="37"/>
  <c r="F271" i="39"/>
  <c r="F541" i="39"/>
  <c r="B506" i="37"/>
  <c r="B269" i="39"/>
  <c r="F268" i="39"/>
  <c r="B548" i="39"/>
  <c r="F273" i="39"/>
  <c r="B169" i="39"/>
  <c r="B396" i="39"/>
  <c r="F508" i="37"/>
  <c r="G507" i="37"/>
  <c r="B619" i="37"/>
  <c r="J435" i="39"/>
  <c r="B170" i="39"/>
  <c r="B395" i="39"/>
  <c r="B534" i="39"/>
  <c r="B571" i="39"/>
  <c r="F505" i="37"/>
  <c r="F270" i="39"/>
  <c r="B574" i="39"/>
  <c r="G508" i="37"/>
  <c r="B432" i="39"/>
  <c r="J533" i="39"/>
  <c r="G506" i="37"/>
  <c r="B435" i="39"/>
  <c r="B393" i="39"/>
  <c r="B572" i="39"/>
  <c r="F503" i="37"/>
  <c r="B436" i="39"/>
  <c r="J436" i="39"/>
  <c r="B173" i="39"/>
  <c r="J531" i="39"/>
  <c r="B533" i="39"/>
  <c r="F539" i="39"/>
  <c r="B549" i="39"/>
  <c r="B505" i="37"/>
  <c r="F504" i="37"/>
  <c r="B273" i="39"/>
  <c r="J534" i="39"/>
  <c r="B271" i="39"/>
  <c r="B575" i="39"/>
  <c r="B434" i="39"/>
  <c r="J431" i="39"/>
  <c r="B174" i="39"/>
  <c r="J530" i="39"/>
  <c r="B531" i="39"/>
  <c r="F538" i="39"/>
  <c r="B550" i="39"/>
  <c r="B503" i="37"/>
  <c r="G505" i="37"/>
  <c r="B268" i="39"/>
  <c r="F272" i="39"/>
  <c r="B394" i="39"/>
  <c r="B546" i="39"/>
  <c r="B617" i="37"/>
  <c r="B433" i="39"/>
  <c r="J434" i="39"/>
  <c r="B532" i="39"/>
  <c r="B508" i="37"/>
  <c r="F269" i="39"/>
  <c r="E352" i="41" l="1"/>
  <c r="C357" i="41" s="1"/>
  <c r="G357" i="41"/>
  <c r="G154" i="39"/>
  <c r="C161" i="39" s="1"/>
  <c r="E521" i="39"/>
  <c r="G529" i="39" s="1"/>
  <c r="E525" i="39"/>
  <c r="C537" i="39" s="1"/>
  <c r="K537" i="39"/>
  <c r="G571" i="39"/>
  <c r="H521" i="39"/>
  <c r="O545" i="39" s="1"/>
  <c r="K545" i="39"/>
  <c r="H525" i="39"/>
  <c r="G545" i="39" s="1"/>
  <c r="K268" i="39"/>
  <c r="R255" i="39"/>
  <c r="R256" i="39"/>
  <c r="I257" i="39"/>
  <c r="S243" i="39" s="1"/>
  <c r="T244" i="39" s="1"/>
  <c r="R252" i="39" s="1"/>
  <c r="R247" i="39"/>
  <c r="R251" i="39"/>
  <c r="F572" i="39"/>
  <c r="G359" i="41"/>
  <c r="G361" i="41"/>
  <c r="B357" i="41"/>
  <c r="F549" i="39"/>
  <c r="J271" i="39"/>
  <c r="F533" i="39"/>
  <c r="B166" i="39"/>
  <c r="J270" i="39"/>
  <c r="F362" i="41"/>
  <c r="B361" i="41"/>
  <c r="B541" i="39"/>
  <c r="J545" i="39"/>
  <c r="J269" i="39"/>
  <c r="F358" i="41"/>
  <c r="C360" i="41"/>
  <c r="B359" i="41"/>
  <c r="F529" i="39"/>
  <c r="B542" i="39"/>
  <c r="B165" i="39"/>
  <c r="J550" i="39"/>
  <c r="F574" i="39"/>
  <c r="N549" i="39"/>
  <c r="J273" i="39"/>
  <c r="B164" i="39"/>
  <c r="N546" i="39"/>
  <c r="B540" i="39"/>
  <c r="J541" i="39"/>
  <c r="J547" i="39"/>
  <c r="F361" i="41"/>
  <c r="F545" i="39"/>
  <c r="N548" i="39"/>
  <c r="F357" i="41"/>
  <c r="F534" i="39"/>
  <c r="B161" i="39"/>
  <c r="G362" i="41"/>
  <c r="B360" i="41"/>
  <c r="C358" i="41"/>
  <c r="F550" i="39"/>
  <c r="B538" i="39"/>
  <c r="B162" i="39"/>
  <c r="J542" i="39"/>
  <c r="F571" i="39"/>
  <c r="N545" i="39"/>
  <c r="F575" i="39"/>
  <c r="F532" i="39"/>
  <c r="J268" i="39"/>
  <c r="J540" i="39"/>
  <c r="B362" i="41"/>
  <c r="J546" i="39"/>
  <c r="G358" i="41"/>
  <c r="B358" i="41"/>
  <c r="C361" i="41"/>
  <c r="F547" i="39"/>
  <c r="B539" i="39"/>
  <c r="J538" i="39"/>
  <c r="F546" i="39"/>
  <c r="F531" i="39"/>
  <c r="N550" i="39"/>
  <c r="G360" i="41"/>
  <c r="J537" i="39"/>
  <c r="F359" i="41"/>
  <c r="C362" i="41"/>
  <c r="F530" i="39"/>
  <c r="F548" i="39"/>
  <c r="B537" i="39"/>
  <c r="J549" i="39"/>
  <c r="J539" i="39"/>
  <c r="F573" i="39"/>
  <c r="J272" i="39"/>
  <c r="J548" i="39"/>
  <c r="B163" i="39"/>
  <c r="N547" i="39"/>
  <c r="F360" i="41"/>
  <c r="C359" i="41"/>
  <c r="F576" i="39"/>
  <c r="G156" i="39" l="1"/>
  <c r="I156" i="39" s="1"/>
  <c r="U243" i="39"/>
  <c r="R250" i="39" s="1"/>
  <c r="I157" i="39"/>
  <c r="R253" i="39"/>
  <c r="U244" i="39"/>
  <c r="R254" i="39" s="1"/>
  <c r="T243" i="39"/>
  <c r="R248" i="39" s="1"/>
  <c r="R249" i="39"/>
  <c r="G169" i="39" l="1"/>
  <c r="O268" i="39"/>
  <c r="G174" i="39"/>
  <c r="F170" i="39"/>
  <c r="G172" i="39"/>
  <c r="G170" i="39"/>
  <c r="F173" i="39"/>
  <c r="F169" i="39"/>
  <c r="F174" i="39"/>
  <c r="F171" i="39"/>
  <c r="F172" i="39"/>
  <c r="G171" i="39"/>
  <c r="G173" i="39"/>
  <c r="N269" i="39"/>
  <c r="N268" i="39"/>
  <c r="N271" i="39"/>
  <c r="N270" i="39"/>
  <c r="N273" i="39"/>
  <c r="N272" i="39"/>
</calcChain>
</file>

<file path=xl/sharedStrings.xml><?xml version="1.0" encoding="utf-8"?>
<sst xmlns="http://schemas.openxmlformats.org/spreadsheetml/2006/main" count="6208" uniqueCount="3856">
  <si>
    <t>debt, 2525</t>
  </si>
  <si>
    <t>: debt-to-equity</t>
  </si>
  <si>
    <t>: N - 1</t>
  </si>
  <si>
    <t>LS7a  Find today's FV given today’s periodic interest on a deposit made long ago with annual compounding</t>
  </si>
  <si>
    <t>Multiple setup (LS7)</t>
  </si>
  <si>
    <t>LumpSum!$B$171</t>
  </si>
  <si>
    <t>the total rate of return minus the expected dividend yield equals the capital gains yield</t>
  </si>
  <si>
    <t>the capital gains yield minus the expected dividend yield equals the total rate of return</t>
  </si>
  <si>
    <t>: %change</t>
  </si>
  <si>
    <t>: new exchange rate</t>
  </si>
  <si>
    <t>: actual revenue in USD</t>
  </si>
  <si>
    <t>shortfall=less, surplus=more</t>
  </si>
  <si>
    <t>: loan balance</t>
  </si>
  <si>
    <t>: original APR</t>
  </si>
  <si>
    <t>Technological advancements of recent decades have made sophisticated trading more possible.</t>
  </si>
  <si>
    <t>The Penny Stock Reform Act during the 1990s commanded the Securities Exchange Commission to increase the transparency of program trading.</t>
  </si>
  <si>
    <t>Conceptual!$B$1772</t>
  </si>
  <si>
    <t>MB26  Why has program trading as a proportion of total trading increased</t>
  </si>
  <si>
    <t>: security idiosyncratic risk</t>
  </si>
  <si>
    <t>: security risk premium</t>
  </si>
  <si>
    <t>: price of risk</t>
  </si>
  <si>
    <t>: market return</t>
  </si>
  <si>
    <t>PortTheory!$B$758</t>
  </si>
  <si>
    <t>: security required return</t>
  </si>
  <si>
    <t>AP16 Find security risk premium given correlation and market measures</t>
  </si>
  <si>
    <t>PortTheory!$F$758</t>
  </si>
  <si>
    <t xml:space="preserve">AP16a Find security risk premium </t>
  </si>
  <si>
    <t>AP16b Find security risk premium &amp; return</t>
  </si>
  <si>
    <t>interest during last half</t>
  </si>
  <si>
    <t>BS10  Find false NYSE description</t>
  </si>
  <si>
    <t>A-T:</t>
  </si>
  <si>
    <t>PV9 Find PV given CF, FV and r (annual compounding)</t>
  </si>
  <si>
    <t>LS22  Find deposit today to purchase in future an inflating house price</t>
  </si>
  <si>
    <t>LumpSum!$B$204</t>
  </si>
  <si>
    <t>LS24 Inflation and discounting</t>
  </si>
  <si>
    <t>: numeraire</t>
  </si>
  <si>
    <t>: FC1</t>
  </si>
  <si>
    <t>: FC2</t>
  </si>
  <si>
    <t>: price of FC1</t>
  </si>
  <si>
    <t>: price of FC2</t>
  </si>
  <si>
    <t>: cross-price of FC2 relative to FC1</t>
  </si>
  <si>
    <t>: cross-price of FC1 relative to FC2</t>
  </si>
  <si>
    <t>a sector fund invests in stocks from a fairly narrow line of business</t>
  </si>
  <si>
    <t>a sector fund invests in stocks from a narrow geographical sector of the country</t>
  </si>
  <si>
    <t>Conceptual!$B$684</t>
  </si>
  <si>
    <t>BS7  What is a mutual fund’s net asset value</t>
  </si>
  <si>
    <t>Conceptual!$B$693</t>
  </si>
  <si>
    <t>Conceptual!$B$1004</t>
  </si>
  <si>
    <t>TR5  For which stream is the present value the OR(smallest, biggest)</t>
  </si>
  <si>
    <t>FV17  Find OR(deposit,withdrawal) CF given PV, FV, r, and N (annual compounding)</t>
  </si>
  <si>
    <t>GeneralPV!$B$694</t>
  </si>
  <si>
    <t>dividend 0</t>
  </si>
  <si>
    <t>Current</t>
  </si>
  <si>
    <t>TS2a  Save now &amp; withdraw later;  how long can you withdraw</t>
  </si>
  <si>
    <t>GeneralPV!$B$281</t>
  </si>
  <si>
    <t>TR28  Characteristics of the minimum risk portfolio</t>
  </si>
  <si>
    <t>Conceptual!$B$1458</t>
  </si>
  <si>
    <t>GeneralPV!$B$459</t>
  </si>
  <si>
    <t>FV9  Find FV given PV and withdrawal history</t>
  </si>
  <si>
    <t>ST4a/ST4b/ST4c  Find dividend(1) given price(1), growth rate, and ROR</t>
  </si>
  <si>
    <t>Multiple setup ST4</t>
  </si>
  <si>
    <t>stocks!$B$178</t>
  </si>
  <si>
    <t>ST4d  Find ORdividend(0,1) given ORprice(0,1), growth rate, and ROR</t>
  </si>
  <si>
    <t>stocks!$F$178</t>
  </si>
  <si>
    <t>annual set-up</t>
  </si>
  <si>
    <t>: dollar change</t>
  </si>
  <si>
    <t>: rise or falling price</t>
  </si>
  <si>
    <t>BondApps!$J$348</t>
  </si>
  <si>
    <t>BD21c find  change in price</t>
  </si>
  <si>
    <t>stocks!$B$257</t>
  </si>
  <si>
    <t>stocks!$F$257</t>
  </si>
  <si>
    <t>SV1b/SV1c  Find AND(intrinsic value, shareprice) given sustainable growth and retained earnings</t>
  </si>
  <si>
    <t>SV1c:</t>
  </si>
  <si>
    <t>SV1d  Find AND(intrinsic value, inference) given sustainable growth and retained earnings</t>
  </si>
  <si>
    <t>stocks!$J$257</t>
  </si>
  <si>
    <t>SV2a  Find intrinsic value given sustainable growth and return-on-equity</t>
  </si>
  <si>
    <t>stocks!$B$273</t>
  </si>
  <si>
    <t>the interest rate that an issuer must pay is higher for an A-rated than for a C-rated bond</t>
  </si>
  <si>
    <t>Conceptual!$B$934</t>
  </si>
  <si>
    <t>MB9  Bond returns</t>
  </si>
  <si>
    <t>Conceptual!$B$950</t>
  </si>
  <si>
    <t>: sales</t>
  </si>
  <si>
    <t>AP15  Find nominal interest rate given real rate and periodic inflation</t>
  </si>
  <si>
    <t>: real riskfree rate</t>
  </si>
  <si>
    <t>: i2</t>
  </si>
  <si>
    <t>: i4</t>
  </si>
  <si>
    <t>: i20</t>
  </si>
  <si>
    <t>A white-knight strategy occurs when a potential takeover target tries to find a friendly company to takeover the target in order to thwart an unfriendly raider.</t>
  </si>
  <si>
    <t>: net profit margin</t>
  </si>
  <si>
    <t>: dividend payout ratio</t>
  </si>
  <si>
    <t>: %depreciation</t>
  </si>
  <si>
    <t>: net increase in PP&amp;E</t>
  </si>
  <si>
    <t>AM3gm  Find previous payment’s principal interest</t>
  </si>
  <si>
    <t>GeneralPV!$J$379</t>
  </si>
  <si>
    <t xml:space="preserve">AP10  Find %change in intrinsic value with shock to market premium and growth rate </t>
  </si>
  <si>
    <t>PortTheory!$B$369</t>
  </si>
  <si>
    <t>: Target pretax profit margin</t>
  </si>
  <si>
    <t>PortTheory!$B$419</t>
  </si>
  <si>
    <t>MB16  Derivatives trading behavior</t>
  </si>
  <si>
    <t>Conceptual!$B$1080</t>
  </si>
  <si>
    <t>MB15  Index arbitrage strategy</t>
  </si>
  <si>
    <t>Conceptual!$B$1095</t>
  </si>
  <si>
    <t>MB14  Program trade definition</t>
  </si>
  <si>
    <t>BD2  Treasury bond issued at par, what is change in ytm given change in price</t>
  </si>
  <si>
    <t>BondApps!$B$48</t>
  </si>
  <si>
    <t>BD7a  Find bond price given ytm in a simple setting</t>
  </si>
  <si>
    <t>BondApps!$B$62</t>
  </si>
  <si>
    <t>: PPE(2525)</t>
  </si>
  <si>
    <t>BS37 Describe assets and liabilities on the buy-side</t>
  </si>
  <si>
    <t>BE5a  Total breakeven sales revenue</t>
  </si>
  <si>
    <t>PortTheory!$F$464</t>
  </si>
  <si>
    <t>BE5b  sales revenue and EBIT</t>
  </si>
  <si>
    <t>: EBIT at breakeven</t>
  </si>
  <si>
    <t>BE5c  operating and total breakeven</t>
  </si>
  <si>
    <t>PortTheory!$J$465</t>
  </si>
  <si>
    <t>: number of withdrawals</t>
  </si>
  <si>
    <t>GeneralPV!$B$16</t>
  </si>
  <si>
    <t>initial endowment</t>
  </si>
  <si>
    <t>first deposit</t>
  </si>
  <si>
    <t>last deposit</t>
  </si>
  <si>
    <t>monthly deposits</t>
  </si>
  <si>
    <t>the length of the financial contract is the distinguishing criterion when categorizing markets as either credit market or equity market</t>
  </si>
  <si>
    <t>Conceptual!$B$1234</t>
  </si>
  <si>
    <t>number of deposits in first cash flow stream</t>
  </si>
  <si>
    <t>total costs</t>
  </si>
  <si>
    <t>When the household expects short-run liquidity problems as their careers commence but for the long-run they expect high income growth then borrowing with a 30-year loan may be advantageous.</t>
  </si>
  <si>
    <t>When the household expects liquidity problems in the short-run as their careers commence but for the long-run they expect high income growth then borrowing with a 15-year loan may be advantageous.</t>
  </si>
  <si>
    <t>Conceptual!$B$1524</t>
  </si>
  <si>
    <t>TR33  T/F  Geometric versus arithmetic average ROR ranking</t>
  </si>
  <si>
    <t>True:</t>
  </si>
  <si>
    <t>False:</t>
  </si>
  <si>
    <t>Conceptual!$B$1536</t>
  </si>
  <si>
    <t>CF3a  Find price-to-operating cash flow ratio given income statement ratios</t>
  </si>
  <si>
    <t>FA1!$B$161</t>
  </si>
  <si>
    <t>CF3c  find operating cash flow given one balance sheet and income ratios</t>
  </si>
  <si>
    <t>FA1!$B$169</t>
  </si>
  <si>
    <t>Intntl!$B$184</t>
  </si>
  <si>
    <t xml:space="preserve">AP2bm  Find beta and OR(conservative,aggressive) given return observations </t>
  </si>
  <si>
    <t>PortTheory!$F$285</t>
  </si>
  <si>
    <t>PortTheory!$J$285</t>
  </si>
  <si>
    <t>total asset turnover</t>
  </si>
  <si>
    <t>CB22  Find NPV etc for 7-year MACRS w/ salvage value</t>
  </si>
  <si>
    <t>: MACRS7</t>
  </si>
  <si>
    <t>: installation</t>
  </si>
  <si>
    <t>: NWC</t>
  </si>
  <si>
    <t>: sunk costs</t>
  </si>
  <si>
    <t>: variable cost</t>
  </si>
  <si>
    <t>: Q1</t>
  </si>
  <si>
    <t>: Q2</t>
  </si>
  <si>
    <t>: Q3</t>
  </si>
  <si>
    <t>: Q4</t>
  </si>
  <si>
    <t>: salvage value</t>
  </si>
  <si>
    <t>(p-v)Q(1-t)</t>
  </si>
  <si>
    <t>e343+tD</t>
  </si>
  <si>
    <t>: book value</t>
  </si>
  <si>
    <t>: net salvage proceeds</t>
  </si>
  <si>
    <t>CapBud!$B$357</t>
  </si>
  <si>
    <t>CB22a  NPV and IRR</t>
  </si>
  <si>
    <r>
      <t>GR2c  Find new equity book value given constant p/e and g</t>
    </r>
    <r>
      <rPr>
        <b/>
        <i/>
        <vertAlign val="superscript"/>
        <sz val="12"/>
        <rFont val="Arial"/>
        <family val="2"/>
      </rPr>
      <t>internal</t>
    </r>
  </si>
  <si>
    <t>FA1!$J$529</t>
  </si>
  <si>
    <r>
      <t>GR2d  Find new equity price-to-book ratio given constant p/e and g</t>
    </r>
    <r>
      <rPr>
        <b/>
        <i/>
        <vertAlign val="superscript"/>
        <sz val="12"/>
        <rFont val="Arial"/>
        <family val="2"/>
      </rPr>
      <t>internal</t>
    </r>
  </si>
  <si>
    <t>FA1!$B$537</t>
  </si>
  <si>
    <r>
      <t>GR2e  Find new debt-to-equity ratio given constant p/e and g</t>
    </r>
    <r>
      <rPr>
        <b/>
        <i/>
        <vertAlign val="superscript"/>
        <sz val="12"/>
        <rFont val="Arial"/>
        <family val="2"/>
      </rPr>
      <t>internal</t>
    </r>
  </si>
  <si>
    <t>FA1!$F$537</t>
  </si>
  <si>
    <r>
      <t>GR2f  Find new shareprice given constant p/e and g</t>
    </r>
    <r>
      <rPr>
        <b/>
        <i/>
        <vertAlign val="superscript"/>
        <sz val="12"/>
        <rFont val="Arial"/>
        <family val="2"/>
      </rPr>
      <t>internal</t>
    </r>
  </si>
  <si>
    <t>FA1!$J$537</t>
  </si>
  <si>
    <r>
      <t>GR2g  Find book value per share given constant p/e and g</t>
    </r>
    <r>
      <rPr>
        <b/>
        <i/>
        <vertAlign val="superscript"/>
        <sz val="12"/>
        <rFont val="Arial"/>
        <family val="2"/>
      </rPr>
      <t>sustainable</t>
    </r>
  </si>
  <si>
    <t>FA1!$B$545</t>
  </si>
  <si>
    <t>BD19  Find ROR for horizon analysis and changing ytm</t>
  </si>
  <si>
    <t>: change ytm</t>
  </si>
  <si>
    <t>BondApps!$B$318</t>
  </si>
  <si>
    <t>BD19a find ROR</t>
  </si>
  <si>
    <t>BondApps!$F$318</t>
  </si>
  <si>
    <t>BD19b find AND(price, ROR)</t>
  </si>
  <si>
    <t>CB24  Find recapture taxes w/ 4-year MACRS</t>
  </si>
  <si>
    <t>debt-to-equity, 12/31/2525</t>
  </si>
  <si>
    <t>p/e ratio, 12/31/2525</t>
  </si>
  <si>
    <t>Total Assets, 12/31/2526</t>
  </si>
  <si>
    <t>S.E., 12/31/2526</t>
  </si>
  <si>
    <t>Variables and Parameters</t>
  </si>
  <si>
    <t>shareprice, 12/31/2525</t>
  </si>
  <si>
    <t>: Sales revenue</t>
  </si>
  <si>
    <t>BD7b  Find ytm given price in a simple setting</t>
  </si>
  <si>
    <t>shareprice, 12/31/2526</t>
  </si>
  <si>
    <t>shareprice(0)</t>
  </si>
  <si>
    <t>dividend yield</t>
  </si>
  <si>
    <t>npmts remaining such that this principal remains</t>
  </si>
  <si>
    <t>TS1a  Find each deposit for a perpetual endowment</t>
  </si>
  <si>
    <t>GeneralPV!$B$265</t>
  </si>
  <si>
    <t>TS1b  Find each withdrawal for a perpetual endowment given the deposit history</t>
  </si>
  <si>
    <t>GeneralPV!$F$265</t>
  </si>
  <si>
    <t>BS30  IPO and best efforts v. firm commitment</t>
  </si>
  <si>
    <t>total interest-on-interest</t>
  </si>
  <si>
    <t>cash</t>
  </si>
  <si>
    <t>GeneralPV!$B$616</t>
  </si>
  <si>
    <t>PV14 Find change CF given PV, r0, r1</t>
  </si>
  <si>
    <t>: rate0</t>
  </si>
  <si>
    <t>: rate1</t>
  </si>
  <si>
    <t>: change CF</t>
  </si>
  <si>
    <t>GeneralPV!$B$629</t>
  </si>
  <si>
    <t>: Target EBIT</t>
  </si>
  <si>
    <t>: target breakeven quantity</t>
  </si>
  <si>
    <t>PortTheory!$B$405</t>
  </si>
  <si>
    <t>PortTheory!$F$405</t>
  </si>
  <si>
    <t>FT5b  Find ROR on speculative currency futures given a change in exchange rates</t>
  </si>
  <si>
    <t>Options!$F$231</t>
  </si>
  <si>
    <t>FT5c  Find AND(profit,ROR) on speculative currency futures</t>
  </si>
  <si>
    <t>price measured in USD</t>
  </si>
  <si>
    <t>investors in asset-backed securities receive cash flows that, relatively speaking, are predictable like a bond instead of unpredictable like a stock</t>
  </si>
  <si>
    <t>investors in asset-backed securities receive cash flows that, relatively speaking, are unpredictable like a stock instead of predictable like a bond</t>
  </si>
  <si>
    <t>Coupon rates probably were relatively low all year long</t>
  </si>
  <si>
    <t>probability</t>
  </si>
  <si>
    <t>declining</t>
  </si>
  <si>
    <t>flat</t>
  </si>
  <si>
    <t>rising</t>
  </si>
  <si>
    <t>expected return</t>
  </si>
  <si>
    <t>standard deviation</t>
  </si>
  <si>
    <t>%return X</t>
  </si>
  <si>
    <t>%return Y</t>
  </si>
  <si>
    <t>E(r)</t>
  </si>
  <si>
    <t>s</t>
  </si>
  <si>
    <t>investment horizon</t>
  </si>
  <si>
    <t>Variables at end of investment horizon</t>
  </si>
  <si>
    <t xml:space="preserve"> : current yield-to-maturity</t>
  </si>
  <si>
    <t>number of periods until first deposit</t>
  </si>
  <si>
    <t>shortfall or surplus</t>
  </si>
  <si>
    <t>FV1bm  Find lifetime total interest given two different and consecutive deposit histories</t>
  </si>
  <si>
    <t>Multiple setup (FV2m)</t>
  </si>
  <si>
    <t>Conceptual!$B$1200</t>
  </si>
  <si>
    <t>rate 1 =</t>
  </si>
  <si>
    <t>rate 2 =</t>
  </si>
  <si>
    <t>difference=</t>
  </si>
  <si>
    <t>correct:</t>
  </si>
  <si>
    <t>20-day MA</t>
  </si>
  <si>
    <t>p/b ratio, 12/31/2527</t>
  </si>
  <si>
    <t>mask01</t>
  </si>
  <si>
    <t>mask03</t>
  </si>
  <si>
    <t>mask05</t>
  </si>
  <si>
    <t>MR1dm  Find AND(return,stddev) for minimum risk portfolio given equally weighted outcomes</t>
  </si>
  <si>
    <t>With an interest rate decline the price rises more for short-term bonds than for long-term bonds</t>
  </si>
  <si>
    <t>If the interest rate doubles then the loan payment doubles.</t>
  </si>
  <si>
    <t>If the loan term halves then the loan payment halves.</t>
  </si>
  <si>
    <t>TRx</t>
  </si>
  <si>
    <t>Add only stock B since its expected return is the only one to exceed its required return.</t>
  </si>
  <si>
    <t>TQ1  Explanations for the overpayment premium in mergers</t>
  </si>
  <si>
    <t>Raider management may perceive that the acquisition will lead to increases in profitability due to synergies associated with horizontal or vertical integration.</t>
  </si>
  <si>
    <t>With a fixed exchange rate system market supply and demand forces determine the exchange rate by which one currency converts into other currencies</t>
  </si>
  <si>
    <t>Conceptual!$B$244</t>
  </si>
  <si>
    <t>abs(difference)</t>
  </si>
  <si>
    <t>input variables</t>
  </si>
  <si>
    <t>min risk w(Z)</t>
  </si>
  <si>
    <t>% change</t>
  </si>
  <si>
    <t>typically they take a hands-off attitude and let management operate unfettered</t>
  </si>
  <si>
    <t>TQ9  IRR for simple cash flow stream</t>
  </si>
  <si>
    <t>: cf3a</t>
  </si>
  <si>
    <t>: cf3b</t>
  </si>
  <si>
    <t>: irr</t>
  </si>
  <si>
    <t>TeacherQuestions!$B$267</t>
  </si>
  <si>
    <t>ROR3a  What is geometric average ROR given 3 prices</t>
  </si>
  <si>
    <t>number of monthly deposits</t>
  </si>
  <si>
    <t>number of years in subsequent investment horizon</t>
  </si>
  <si>
    <t>Multiple setup (MR2)</t>
  </si>
  <si>
    <t>PortTheory!$B$168</t>
  </si>
  <si>
    <t>LS5  Find target N given PV, FV, and r with annual compounding</t>
  </si>
  <si>
    <t>LumpSum!$B$287</t>
  </si>
  <si>
    <t>beginning shareprice</t>
  </si>
  <si>
    <t>total number of payments</t>
  </si>
  <si>
    <t>payment frequency</t>
  </si>
  <si>
    <t>this period's total interest</t>
  </si>
  <si>
    <t>FV last period</t>
  </si>
  <si>
    <t>this period's interest</t>
  </si>
  <si>
    <t>N years</t>
  </si>
  <si>
    <t>original loan</t>
  </si>
  <si>
    <t>Mortgages and other loans represent the largest line items on the Asset side of the aggregate balance sheet for the bank sector.</t>
  </si>
  <si>
    <t>Mortgages and other loans represent the largest line items on the Liability side of the aggregate balance sheet for the bank sector.</t>
  </si>
  <si>
    <t>Conceptual!$B$1664</t>
  </si>
  <si>
    <t>For a premium bond the yield-to-maturity exeeds the coupon rate</t>
  </si>
  <si>
    <t>For a discount bond the coupon rate is less than the yield to maturity</t>
  </si>
  <si>
    <t>For a discount bond the coupon rate exceeds the yield to maturity</t>
  </si>
  <si>
    <t>With an interest rate decline the price rises more for long-term bonds than for short-term bonds</t>
  </si>
  <si>
    <t>MR3am  Find attributes of a fixed weight portfolio given risks and correlation</t>
  </si>
  <si>
    <t>Multiple setup (MR3)</t>
  </si>
  <si>
    <t>PortTheory!$B$183</t>
  </si>
  <si>
    <t>MC2a  Find FV of 3 irregular and different monthly deposits</t>
  </si>
  <si>
    <t>: interest for new  loan's life</t>
  </si>
  <si>
    <t>TR11  Portfolio characteristics</t>
  </si>
  <si>
    <t>Conceptual!$B$815</t>
  </si>
  <si>
    <t>TR12  Which CAPM concept is correct</t>
  </si>
  <si>
    <t>Conceptual!$B$829</t>
  </si>
  <si>
    <t xml:space="preserve">ending shareprice </t>
  </si>
  <si>
    <t>payoff on call</t>
  </si>
  <si>
    <t>target shareprice given in the money call</t>
  </si>
  <si>
    <t>target shareprice given in the money put</t>
  </si>
  <si>
    <t>Inventory</t>
  </si>
  <si>
    <t>: put price</t>
  </si>
  <si>
    <t>: W0</t>
  </si>
  <si>
    <t>: W1</t>
  </si>
  <si>
    <t>Options!$B$138</t>
  </si>
  <si>
    <t>Options!$B$151</t>
  </si>
  <si>
    <t>: worst-case ROR</t>
  </si>
  <si>
    <t>: stock price 1</t>
  </si>
  <si>
    <t>ST24  Find preferred risk premium and buy-or-sell given dividend, CD rate, P(0), and target risk premium</t>
  </si>
  <si>
    <t>: target risk premium</t>
  </si>
  <si>
    <t>: actual risk premium</t>
  </si>
  <si>
    <t>: actual ror</t>
  </si>
  <si>
    <t>stocks!$B$483</t>
  </si>
  <si>
    <t>The Bretton Woods System was an agreement among the world’s nations that allowed for floating exchange rates and was established in 1972</t>
  </si>
  <si>
    <t>With a fixed exchange rate system one government declares the exchange rate by which its sovereign currency converts into other currencies</t>
  </si>
  <si>
    <t>With a floating exchange rate system one government declares the exchange rate by which its sovereign currency converts into other currencies</t>
  </si>
  <si>
    <t>Raider management may believe that Target assets probably are underutilized.</t>
  </si>
  <si>
    <t>CF1e  Find Net equity issues given 1 balance sheet, some flows, and cash surplus</t>
  </si>
  <si>
    <t>FA1!$F$106</t>
  </si>
  <si>
    <t>CF1f  Find cash surplus given 1 balance sheet, some flows, and net equity issues</t>
  </si>
  <si>
    <t>FA1!$J$106</t>
  </si>
  <si>
    <t>CF2  find cash flow to shareholders given 1 balance sheet and some flows (set-ups for CF1 and CF2 are identical but independent)</t>
  </si>
  <si>
    <t>FA1!$B$133</t>
  </si>
  <si>
    <t>Multiple setup (CF3)</t>
  </si>
  <si>
    <t>yet the two strategies coexist as trade-offs because for moderate upward price movements the pure-stock strategy outperforms the insurance strategy.</t>
  </si>
  <si>
    <t>When a bond is sold at an interest rate less than the initial yield to maturity then the actual rate of return exceeds the promised yield</t>
  </si>
  <si>
    <t>When a bond is sold at an interest rate less than the initial yield to maturity then the actual rate of return is less than the promised yield</t>
  </si>
  <si>
    <t>With an interest rate increase the price falls more for long-term bonds than for short-term bonds</t>
  </si>
  <si>
    <t>IRRX</t>
  </si>
  <si>
    <t>crossover</t>
  </si>
  <si>
    <t>the unit of measurement for σ is “%-squared” and that is identical to the unit of measurement for expected return</t>
  </si>
  <si>
    <t>for security returns that are normally distributed about 95% of all outcomes lie within two σ of the expected return</t>
  </si>
  <si>
    <t>FF8  Define an asset-backed bond</t>
  </si>
  <si>
    <t>Conceptual!$B$370</t>
  </si>
  <si>
    <t>FF15  Define arbitrage</t>
  </si>
  <si>
    <t>Conceptual!$B$379</t>
  </si>
  <si>
    <t>FF16  What is effect of exchange rate movements</t>
  </si>
  <si>
    <t>Conceptual!$B$388</t>
  </si>
  <si>
    <t>BS3 Characteristics of IPO’s</t>
  </si>
  <si>
    <t>Conceptual!$B$397</t>
  </si>
  <si>
    <t>FF25  Categorization of financial markets</t>
  </si>
  <si>
    <t>: foreign currency</t>
  </si>
  <si>
    <t>: domestic country</t>
  </si>
  <si>
    <t>: sales or cost in currency 1</t>
  </si>
  <si>
    <t>: absolute difference in USD of foreign currencies</t>
  </si>
  <si>
    <t>long ago exchange rates floated with market supply and demand forces but since acceptance of the Bretton Woods agreement most exchange rates are set by governments</t>
  </si>
  <si>
    <t xml:space="preserve">daily currency trading around the world is about 100 times larger than daily volume on the US equity markets </t>
  </si>
  <si>
    <t>Conceptual!$B$1442</t>
  </si>
  <si>
    <t>stocks!$B$510</t>
  </si>
  <si>
    <t>ST19 Find V in simplest div/(r-g)</t>
  </si>
  <si>
    <t>Conceptual!$B$176</t>
  </si>
  <si>
    <t>ROR X</t>
  </si>
  <si>
    <t>ROR Z</t>
  </si>
  <si>
    <t>state 1</t>
  </si>
  <si>
    <t>state 2</t>
  </si>
  <si>
    <t>stddev</t>
  </si>
  <si>
    <t>mean</t>
  </si>
  <si>
    <t>port weights</t>
  </si>
  <si>
    <t>: avg stddev</t>
  </si>
  <si>
    <t>ROR port</t>
  </si>
  <si>
    <t>: diversification benefits</t>
  </si>
  <si>
    <t>PortTheory!$B$33</t>
  </si>
  <si>
    <t>PortTheory!$F$33</t>
  </si>
  <si>
    <t>PortTheory!$J$33</t>
  </si>
  <si>
    <t>net profit margin</t>
  </si>
  <si>
    <t>shares sold to venture cap.</t>
  </si>
  <si>
    <t>wrong:</t>
  </si>
  <si>
    <t>earnings per share (0)</t>
  </si>
  <si>
    <t>deficit r w/ forced shortfall</t>
  </si>
  <si>
    <t>PortTheory!$B$335</t>
  </si>
  <si>
    <t>the average daily dollar volume in recent years was greater on the NYSE than on NASDAQ</t>
  </si>
  <si>
    <t>Options!$B$165</t>
  </si>
  <si>
    <t>: worst case ROR</t>
  </si>
  <si>
    <t>each perpuity payment if given deposit</t>
  </si>
  <si>
    <t>the prime rate is the rate applicable to low-risk mortgages</t>
  </si>
  <si>
    <t>MS1  Warren Buffet focus on cash flow</t>
  </si>
  <si>
    <t>Conceptual!$B$1137</t>
  </si>
  <si>
    <t>dividend(N+1)</t>
  </si>
  <si>
    <t>price(N+1)</t>
  </si>
  <si>
    <t>correct</t>
  </si>
  <si>
    <t>money market investment</t>
  </si>
  <si>
    <t>total net income</t>
  </si>
  <si>
    <t>: cf3</t>
  </si>
  <si>
    <t>: counter offer price</t>
  </si>
  <si>
    <t xml:space="preserve">: ror </t>
  </si>
  <si>
    <t>: ror</t>
  </si>
  <si>
    <t>: decline in ror, basis points</t>
  </si>
  <si>
    <t>Debt / TA</t>
  </si>
  <si>
    <t>: annual percentage rate</t>
  </si>
  <si>
    <t>: monthly deposit</t>
  </si>
  <si>
    <t>: ending balance</t>
  </si>
  <si>
    <t>: pvifa</t>
  </si>
  <si>
    <t>MC1c  Find total interest on 3 consecutive but different annual deposits</t>
  </si>
  <si>
    <t>LumpSum!$J$711</t>
  </si>
  <si>
    <t>: intrinsic value (1)</t>
  </si>
  <si>
    <t>: price (0)</t>
  </si>
  <si>
    <t>stocks!$B$31</t>
  </si>
  <si>
    <t>DuPont Components</t>
  </si>
  <si>
    <t>Company</t>
  </si>
  <si>
    <t>Industry</t>
  </si>
  <si>
    <t>payments made thus far</t>
  </si>
  <si>
    <t>pick-up on sell</t>
  </si>
  <si>
    <t>CB3dm  Refinancing example, PREPAY fees, find interest savings over life of loan</t>
  </si>
  <si>
    <t>CapBud!$B$140</t>
  </si>
  <si>
    <t>CB3em  Refinancing example, prepay fees, find payback period</t>
  </si>
  <si>
    <t>CapBud!$F$140</t>
  </si>
  <si>
    <t>actual revenue in USD</t>
  </si>
  <si>
    <t>ending currency per USD</t>
  </si>
  <si>
    <t>Conceptual!$B$56</t>
  </si>
  <si>
    <t>Conceptual!$B$62</t>
  </si>
  <si>
    <t>return1</t>
  </si>
  <si>
    <t>risk1</t>
  </si>
  <si>
    <t>: beginning wealth</t>
  </si>
  <si>
    <t>: loss in worst case outcome</t>
  </si>
  <si>
    <t>: money market rate</t>
  </si>
  <si>
    <t>: MM allocation</t>
  </si>
  <si>
    <t>: #calls</t>
  </si>
  <si>
    <t>: call price</t>
  </si>
  <si>
    <t>: term in months</t>
  </si>
  <si>
    <t>: %change stock price</t>
  </si>
  <si>
    <t>net profit margin, 2525</t>
  </si>
  <si>
    <t>TL + SE, 12/31/2526</t>
  </si>
  <si>
    <t>External Financing Needs</t>
  </si>
  <si>
    <t>equity book value per share</t>
  </si>
  <si>
    <t>Raider Variables &amp; Parameters</t>
  </si>
  <si>
    <t>usually their plans involve a lifetime commitment to helping the company</t>
  </si>
  <si>
    <t>port avg risk :</t>
  </si>
  <si>
    <t>DB@ min risk:</t>
  </si>
  <si>
    <t>MR1fm  Find DB</t>
  </si>
  <si>
    <t>PortTheory!$V$150</t>
  </si>
  <si>
    <t>SV4cm  Find intrinsic value(1) given sustainable growth, retained earnings, and p/e</t>
  </si>
  <si>
    <t>stocks!$J$314</t>
  </si>
  <si>
    <t>MR5  Find feasible allocation set from summary stats</t>
  </si>
  <si>
    <t>: price today in currency 1 of one currency 2</t>
  </si>
  <si>
    <t>PortTheory!$F$245</t>
  </si>
  <si>
    <t xml:space="preserve">AP3a  Find beta given return observations </t>
  </si>
  <si>
    <t>Multiple setup (AP3)</t>
  </si>
  <si>
    <t>PortTheory!$B$264</t>
  </si>
  <si>
    <t xml:space="preserve"> Japan plus the 11 countries adopting the Euro have equity markets roughly one half the size of the USA equity market</t>
  </si>
  <si>
    <t xml:space="preserve"> Japan plus the 11 countries adopting the Euro have equity markets roughly same size as the USA equity market</t>
  </si>
  <si>
    <t xml:space="preserve">adoption of the Euro makes it easier for Europeon businesses to raise capital </t>
  </si>
  <si>
    <t>FV3  Find the FV of a short annuity from college summer job left alone to compound</t>
  </si>
  <si>
    <t>Multiple Setup (FV4m)</t>
  </si>
  <si>
    <t>the payback period gives higher importance to cash flows received sooner rather than later</t>
  </si>
  <si>
    <t>a short payback period is better than a long payback period</t>
  </si>
  <si>
    <t>EFN5b  Find EFN from simple components (word answer)</t>
  </si>
  <si>
    <t>FA1!$F$640</t>
  </si>
  <si>
    <r>
      <t>D</t>
    </r>
    <r>
      <rPr>
        <i/>
        <sz val="12"/>
        <rFont val="Arial"/>
        <family val="2"/>
      </rPr>
      <t>Net Profit Margin</t>
    </r>
  </si>
  <si>
    <t xml:space="preserve">Multiple setup (EFN2m) </t>
  </si>
  <si>
    <t>EFN2am  Find EFN given sales growth and constant ratios</t>
  </si>
  <si>
    <t>FA1!$B$665</t>
  </si>
  <si>
    <t>EFN2bm  Find EFN given sales growth and changing net profit margin</t>
  </si>
  <si>
    <t>FA1!$F$665</t>
  </si>
  <si>
    <t>Rising inflation within a country causes their sovereign currency to depreciate relative to other currencies in the foreign exchange market</t>
  </si>
  <si>
    <t>Rising inflation within a country causes their sovereign currency to appreciate relative to other currencies in the foreign exchange market</t>
  </si>
  <si>
    <t>FF5  Legal organizational form</t>
  </si>
  <si>
    <t>Conceptual!$B$307</t>
  </si>
  <si>
    <t>FF10  Mergers and wealth transfers</t>
  </si>
  <si>
    <t>Conceptual!$B$316</t>
  </si>
  <si>
    <t>FF12  Compare ROE to shareholder ROR</t>
  </si>
  <si>
    <t>Conceptual!$B$325</t>
  </si>
  <si>
    <t>If the expenditure is depreciated for tax purposes very rapidly (such as over 3 years or even immediately as with “expensing” like cost-of-goods-sold) then the company is financially better-off than if they had depreciated over a long time period (such as over 10-years).</t>
  </si>
  <si>
    <t>If the expenditure is depreciated for tax purposes over a long time period (such as over 10-years) then the company is financially better-off than if they had depreciated it very rapidly (such as over 3 years or even immediately as with “expensing” like cost-of-goods-sold).</t>
  </si>
  <si>
    <t>TR32  Short versus long-term loan advantages</t>
  </si>
  <si>
    <t>BA11b: qualitatively</t>
  </si>
  <si>
    <t>security Y</t>
  </si>
  <si>
    <t>minrisk portfolio standard deviation</t>
  </si>
  <si>
    <t>With the best efforts contract an investment banker receives a negotiated fee, assists the company to sell its shares through the IPO at the best price the company can get, and the company bears all the risk of adverse price movements</t>
  </si>
  <si>
    <t>an asset-backed security represents a pool of many loans of similar type</t>
  </si>
  <si>
    <t>EFN1a  Static EFN with average age of inventory change; numerical choices</t>
  </si>
  <si>
    <t>Multiple setup (EFN1a)</t>
  </si>
  <si>
    <t>FA1!$B$605</t>
  </si>
  <si>
    <t>EFN1b Static EFN with average age of inventory change; word choices</t>
  </si>
  <si>
    <t>FA1!$F$605</t>
  </si>
  <si>
    <r>
      <t>D</t>
    </r>
    <r>
      <rPr>
        <sz val="12"/>
        <rFont val="Arial"/>
        <family val="2"/>
      </rPr>
      <t>APP</t>
    </r>
  </si>
  <si>
    <t>EFN3a Static EFN with stretching average payment period; numerical choices</t>
  </si>
  <si>
    <t>Multiple setup (EFN3a)</t>
  </si>
  <si>
    <t>FA1!$B$625</t>
  </si>
  <si>
    <t>Target Variables &amp; Parameters</t>
  </si>
  <si>
    <t>peso</t>
  </si>
  <si>
    <t>sucre</t>
  </si>
  <si>
    <t>LS4a  Find FV of a deposit long ago given annual compounding</t>
  </si>
  <si>
    <t>Multiple setup (LS4)</t>
  </si>
  <si>
    <t>LumpSum!$B$149</t>
  </si>
  <si>
    <t>LS4b  Find total interest of a deposit long ago given annual compounding</t>
  </si>
  <si>
    <t>LumpSum!$F$149</t>
  </si>
  <si>
    <t>LS4c  Find total interest-on-principal of a deposit long ago given annual compounding</t>
  </si>
  <si>
    <t>LumpSum!$J$149</t>
  </si>
  <si>
    <t>CY12  Find actual FV given target FV, N, target r, and actual r; (intraperiod)</t>
  </si>
  <si>
    <t>LumpSum!$B$462</t>
  </si>
  <si>
    <t>CY6a  Find FV with intraperiod compounding</t>
  </si>
  <si>
    <t>Multiple setup (CY6)</t>
  </si>
  <si>
    <t>LumpSum!$B$478</t>
  </si>
  <si>
    <t>With the best efforts contract an investment banker receives a negotiated fee, assists the company to sell its shares through the IPO at the best price the company can get, and the investment banker bears all the risk of adverse price movements</t>
  </si>
  <si>
    <t>Conceptual!$B$118</t>
  </si>
  <si>
    <t>total cash flow to venture capital</t>
  </si>
  <si>
    <t>for call</t>
  </si>
  <si>
    <t>% change shareprice</t>
  </si>
  <si>
    <t>difference</t>
  </si>
  <si>
    <t>price-to-book</t>
  </si>
  <si>
    <t># pmts remaining =</t>
  </si>
  <si>
    <t>number of years until final deposit</t>
  </si>
  <si>
    <t>fv deposits at time of last deposit</t>
  </si>
  <si>
    <t>accumulation at liquidation</t>
  </si>
  <si>
    <t>Balance Sheet, 12/31/2526</t>
  </si>
  <si>
    <t xml:space="preserve"> : variance X</t>
  </si>
  <si>
    <t xml:space="preserve"> : A's term (years)</t>
  </si>
  <si>
    <t>PortTheory!$N$285</t>
  </si>
  <si>
    <t>(AP5a)</t>
  </si>
  <si>
    <t>(AP5b)</t>
  </si>
  <si>
    <t>AP5a Find OR(required,expected) ROR from CAPM and dividend growth model given simple setup</t>
  </si>
  <si>
    <t>Multiple setup (AP5)</t>
  </si>
  <si>
    <t>PortTheory!$B$301</t>
  </si>
  <si>
    <t>: dividends(t)</t>
  </si>
  <si>
    <t>: se(t)</t>
  </si>
  <si>
    <t>: roe</t>
  </si>
  <si>
    <t>FA1!$B$736</t>
  </si>
  <si>
    <t>: net cost/revenue</t>
  </si>
  <si>
    <t>: option profit</t>
  </si>
  <si>
    <t>: average shareprice</t>
  </si>
  <si>
    <t>: divisor</t>
  </si>
  <si>
    <t>: DJIA</t>
  </si>
  <si>
    <t>Conceptual!$B$1274</t>
  </si>
  <si>
    <t>MB21  Find DJIA given average price and divisor</t>
  </si>
  <si>
    <t>PV1  Find N given the initial deposit long ago and the monthly rental payments it finances</t>
  </si>
  <si>
    <t>GeneralPV!$B$179</t>
  </si>
  <si>
    <t>AM1  How much is interest in a simple setting</t>
  </si>
  <si>
    <t>GeneralPV!$B$192</t>
  </si>
  <si>
    <t>CY3d  Find AND(APR,EAR) given doubling period and intraperiod compounding</t>
  </si>
  <si>
    <t>LumpSum!$N$636</t>
  </si>
  <si>
    <t>operating cash flow</t>
  </si>
  <si>
    <t>: cf</t>
  </si>
  <si>
    <t>GeneralPV!$B$642</t>
  </si>
  <si>
    <t>FV13  Find CF given PV, r, and N (quarterly compounding)</t>
  </si>
  <si>
    <t>an asset-backed bond may give the bond-holder cash flows paid by homeowners toward loans on manufactured homes</t>
  </si>
  <si>
    <t>Multiple setup (AM4m)</t>
  </si>
  <si>
    <t>AM4am  Find loan’s book value</t>
  </si>
  <si>
    <t>GeneralPV!$B$298</t>
  </si>
  <si>
    <t>AM4bm  Find loan’s market value given new rate to sell loan</t>
  </si>
  <si>
    <t>BP change to dividend growth rate</t>
  </si>
  <si>
    <t>BP increase in market risk premium</t>
  </si>
  <si>
    <t>BD15  Find current yield</t>
  </si>
  <si>
    <t>: current yield(0)</t>
  </si>
  <si>
    <t>: current yield(+Horizon)</t>
  </si>
  <si>
    <t>BondApps!$B$246</t>
  </si>
  <si>
    <t>BondApps!$F$246</t>
  </si>
  <si>
    <t>BondApps!$J$246</t>
  </si>
  <si>
    <t>BD15am  Find coupon rate</t>
  </si>
  <si>
    <t>BD15bm  Find current yield today</t>
  </si>
  <si>
    <t>BD15  Find current yield in N periods</t>
  </si>
  <si>
    <t>ST1a/ST1d/ST1g/ST1j  Find intrinsic value given dividend(0) in simplest setting for growth model</t>
  </si>
  <si>
    <t>TeacherQuestions!$B$124</t>
  </si>
  <si>
    <t>DS6bm  Call option portfolio insurance, find worst case outcome</t>
  </si>
  <si>
    <t>Options!$F$342</t>
  </si>
  <si>
    <t>DS17 call option portfolio insurance</t>
  </si>
  <si>
    <t>CY14b  Find next year’s interest with intraperiod compounding</t>
  </si>
  <si>
    <t>LumpSum!$F$449</t>
  </si>
  <si>
    <t>Conceptual!$B$1104</t>
  </si>
  <si>
    <t>MB12  Short-interest ratio</t>
  </si>
  <si>
    <t>Conceptual!$B$1119</t>
  </si>
  <si>
    <t>MB13  Short-sale definition</t>
  </si>
  <si>
    <t>Conceptual!$B$1128</t>
  </si>
  <si>
    <t>EFN3b Static EFN with stretching average payment period; word choices</t>
  </si>
  <si>
    <t>FA1!$F$625</t>
  </si>
  <si>
    <t>BondApps!$B$348</t>
  </si>
  <si>
    <t>: percent change in price</t>
  </si>
  <si>
    <t>BD21a find new price</t>
  </si>
  <si>
    <t>BondApps!$F$348</t>
  </si>
  <si>
    <t>BD21b find percentage change in price</t>
  </si>
  <si>
    <t>CR4cm  Find surplus/shortfall from export sale given x-rate fluctuation</t>
  </si>
  <si>
    <t>Intntl!$J$85</t>
  </si>
  <si>
    <t>misprice</t>
  </si>
  <si>
    <t>underlying asset price</t>
  </si>
  <si>
    <t>for call, not conditioned on time value</t>
  </si>
  <si>
    <t>FT1c  What is the AND(profit,ROR) on a speculative futures position</t>
  </si>
  <si>
    <t>Options!$J$197</t>
  </si>
  <si>
    <t>FA1!$F$370</t>
  </si>
  <si>
    <t>BA2cm  Find new shareprice given one balance sheet and ratios</t>
  </si>
  <si>
    <t>FA1!$J$370</t>
  </si>
  <si>
    <r>
      <t>AP4b/AP4d/AP4f  Find beta and OR(conservative,aggressive) given r</t>
    </r>
    <r>
      <rPr>
        <b/>
        <i/>
        <vertAlign val="subscript"/>
        <sz val="12"/>
        <rFont val="Arial"/>
        <family val="2"/>
      </rPr>
      <t>f</t>
    </r>
    <r>
      <rPr>
        <b/>
        <i/>
        <sz val="12"/>
        <rFont val="Arial"/>
        <family val="2"/>
      </rPr>
      <t>, and risk premia</t>
    </r>
  </si>
  <si>
    <t xml:space="preserve">AP2am  Find beta given return observations </t>
  </si>
  <si>
    <t>Multiple setup (AP2)</t>
  </si>
  <si>
    <t>PortTheory!$B$285</t>
  </si>
  <si>
    <t>Find efn holding constant PP&amp;E</t>
  </si>
  <si>
    <t>current assets</t>
  </si>
  <si>
    <t>current liabilities</t>
  </si>
  <si>
    <t>Long term debt</t>
  </si>
  <si>
    <t>CB4  Find wealth created OR(today’s NPV, future’s FV(NPV)) given CF stream and r</t>
  </si>
  <si>
    <t>CapBud!$B$78</t>
  </si>
  <si>
    <t>CB5  What is the NPV rule (VERBAL QUESTION)?</t>
  </si>
  <si>
    <t>CapBud!$B$93</t>
  </si>
  <si>
    <t>FA1!$B$954</t>
  </si>
  <si>
    <t>FA18  Find post-merger market cap</t>
  </si>
  <si>
    <t>other</t>
  </si>
  <si>
    <t>: cash surplus</t>
  </si>
  <si>
    <t>FA1!$B$971</t>
  </si>
  <si>
    <t>CF4 Find cash surplus in simplistic setting</t>
  </si>
  <si>
    <t>: dividends A</t>
  </si>
  <si>
    <t>: new issues A</t>
  </si>
  <si>
    <t>: retained earnings A</t>
  </si>
  <si>
    <t>: SE(2526)</t>
  </si>
  <si>
    <t>FA1!$B$992</t>
  </si>
  <si>
    <t>number of deposits in second cash flow stream</t>
  </si>
  <si>
    <t>PV</t>
  </si>
  <si>
    <t>N</t>
  </si>
  <si>
    <t>The stock market probably lost substantially and bond funds attracted money, thereby driving bond prices</t>
  </si>
  <si>
    <t xml:space="preserve"> : current 1-year yield-to-maturity</t>
  </si>
  <si>
    <t>PortTheory!$N$150</t>
  </si>
  <si>
    <t>: payment amount with fees paid-up-front</t>
  </si>
  <si>
    <t>risk minimizing alloction to X</t>
  </si>
  <si>
    <t>risk minimizing alloction to Y</t>
  </si>
  <si>
    <t>: price (1)</t>
  </si>
  <si>
    <t>: rate of return</t>
  </si>
  <si>
    <t>stocks!$B$80</t>
  </si>
  <si>
    <t>ror</t>
  </si>
  <si>
    <t>shareprice 2526</t>
  </si>
  <si>
    <t>the interest rate normally is greater on long-term corporate bonds than on short-term corporate bonds</t>
  </si>
  <si>
    <t>mismatch</t>
  </si>
  <si>
    <t>company</t>
  </si>
  <si>
    <t>AP9  Find change in intrinsic value with shock to beta and growth rate given real rate, inflation premium, and market premium</t>
  </si>
  <si>
    <t>PortTheory!$B$352</t>
  </si>
  <si>
    <t>Conceptual!$B$343</t>
  </si>
  <si>
    <t>FF7  What does movement in price-to-book ratio mean</t>
  </si>
  <si>
    <t>Conceptual!$B$352</t>
  </si>
  <si>
    <t>Multiple setup (CR2m)</t>
  </si>
  <si>
    <t>LumpSum!$F$636</t>
  </si>
  <si>
    <t>DS2e/DS2f/DS2g  Find ROR on speculative OR(call,put) investment given option price, shareprice, and % change in shareprice</t>
  </si>
  <si>
    <t>the present value interest factor for an annuity, PVIFA(r,N), equals the initial deposit into an account earning the periodic rate r that perfectly finances a series of N one-dollar withdrawals</t>
  </si>
  <si>
    <t>: payment amount with amortized fees</t>
  </si>
  <si>
    <t>with the opportunity, in event they are terminated because of a take-over, to spin-off divisions of the company into which fired management is guaranteed employment and full-ownership.</t>
  </si>
  <si>
    <t>GeneralPV!$B$98</t>
  </si>
  <si>
    <t>GeneralPV!$E$98</t>
  </si>
  <si>
    <t>TR2  Time value sensitivity to doubling of variables</t>
  </si>
  <si>
    <t>Conceptual!$B$1148</t>
  </si>
  <si>
    <t>TR6  Loan sensitivity to doubling of variables</t>
  </si>
  <si>
    <t>Conceptual!$B$1159</t>
  </si>
  <si>
    <t>MB6  DJIA in motion</t>
  </si>
  <si>
    <t>Conceptual!$B$1173</t>
  </si>
  <si>
    <t>: year beyond 2525</t>
  </si>
  <si>
    <t>: currency 3</t>
  </si>
  <si>
    <t>ThreeFromFive</t>
  </si>
  <si>
    <t>: currency 1 per currency 2</t>
  </si>
  <si>
    <t>FV2bm  Find deposit size</t>
  </si>
  <si>
    <t>GeneralPV!$F$80</t>
  </si>
  <si>
    <t>FV2cm  Find the total principal</t>
  </si>
  <si>
    <t>coupon</t>
  </si>
  <si>
    <t># coupons</t>
  </si>
  <si>
    <t>ytm</t>
  </si>
  <si>
    <t>: ror on speculative position</t>
  </si>
  <si>
    <t>payables</t>
  </si>
  <si>
    <t>tax rate</t>
  </si>
  <si>
    <t xml:space="preserve">FASB wants balance sheets to show only realized balances </t>
  </si>
  <si>
    <t>TR3  For which stream is the present value the smallest</t>
  </si>
  <si>
    <t>number of deposits</t>
  </si>
  <si>
    <t># of months to withdraw</t>
  </si>
  <si>
    <t>PV(withdrawals)</t>
  </si>
  <si>
    <t>Monthly deposit amount</t>
  </si>
  <si>
    <t>must pick a small capitalization stock and hold it for several years</t>
  </si>
  <si>
    <t>must invest in the stocks in the index but overweight purchases in stocks with high dividend growth rates</t>
  </si>
  <si>
    <t>generic option parameters</t>
  </si>
  <si>
    <t>minimum option price</t>
  </si>
  <si>
    <t>: shareprice rises or falls</t>
  </si>
  <si>
    <t>goodnews</t>
  </si>
  <si>
    <t>badnews</t>
  </si>
  <si>
    <t>: actual eps</t>
  </si>
  <si>
    <t>FT2a  Find arbitrage profit in futures mispricing</t>
  </si>
  <si>
    <t>Federal anti-monopoly laws require that the NYSE provide trading floor access to anyone wanting to trade stocks</t>
  </si>
  <si>
    <t>NYSE traders are primarily employees of institutions (like Merrill Lynch) that purchase and own seats</t>
  </si>
  <si>
    <t>ROR7  Find AND(cumulative, geometric average) ROR for 2-year venture capital</t>
  </si>
  <si>
    <t>LumpSum!$B$874</t>
  </si>
  <si>
    <t>the interest rate probably is greater on junk bonds than on high quality investment grade bonds</t>
  </si>
  <si>
    <t>CY20 Long-term interest on interest for semiannual bond fund</t>
  </si>
  <si>
    <t>false :</t>
  </si>
  <si>
    <t>a conservative stock is one whose systematic risk exceeds its unsystematic risk</t>
  </si>
  <si>
    <t>CB8  Find ror for bank selling mortgage after n payments</t>
  </si>
  <si>
    <t>CapBud!$B$63</t>
  </si>
  <si>
    <t>: p/b (constant)</t>
  </si>
  <si>
    <t>FA1!$J$48</t>
  </si>
  <si>
    <t>BA9cm Find ROR</t>
  </si>
  <si>
    <t>BD16a  Find coupon rate</t>
  </si>
  <si>
    <t>BondApps!$F$263</t>
  </si>
  <si>
    <t>BD16b  Find and(coupon rate, current yield)</t>
  </si>
  <si>
    <t>AM3im  Find subsequent payment’s OR(interest, principal)</t>
  </si>
  <si>
    <t>GeneralPV!$B$387</t>
  </si>
  <si>
    <t xml:space="preserve"> : variance market</t>
  </si>
  <si>
    <t>: div increase</t>
  </si>
  <si>
    <t>ST14 Find r given div increase, div(0) payout, and p/e</t>
  </si>
  <si>
    <t>: p(0)</t>
  </si>
  <si>
    <t>stocks!$B$345</t>
  </si>
  <si>
    <t>: g    divyld :</t>
  </si>
  <si>
    <t>stocks!$F$345</t>
  </si>
  <si>
    <t>: %allocation to options</t>
  </si>
  <si>
    <t>: %allocation to money market</t>
  </si>
  <si>
    <t>: FV(MM)</t>
  </si>
  <si>
    <t xml:space="preserve">: total ROR </t>
  </si>
  <si>
    <t>: payoff per call</t>
  </si>
  <si>
    <t>TeacherQuestions!$B$142</t>
  </si>
  <si>
    <t>: outstanding balance</t>
  </si>
  <si>
    <t>new loan</t>
  </si>
  <si>
    <t>Sustainable Growth and Constant p/e</t>
  </si>
  <si>
    <t>Debt, 12/31/2526</t>
  </si>
  <si>
    <t>A</t>
  </si>
  <si>
    <t>B</t>
  </si>
  <si>
    <t>average risk of X &amp; Y</t>
  </si>
  <si>
    <t>diversification benefits</t>
  </si>
  <si>
    <t>put premium</t>
  </si>
  <si>
    <t>3 correct pairs</t>
  </si>
  <si>
    <t>Conceptual!$B$105</t>
  </si>
  <si>
    <t>cash flow 1</t>
  </si>
  <si>
    <t>market ROR</t>
  </si>
  <si>
    <t>Multiple setup (CY14)</t>
  </si>
  <si>
    <t>LumpSum!$B$449</t>
  </si>
  <si>
    <t>: inventory turnover ratio</t>
  </si>
  <si>
    <t>: decrease in average age</t>
  </si>
  <si>
    <t>: Inventory(0)</t>
  </si>
  <si>
    <t>: average age(0)</t>
  </si>
  <si>
    <t>amount of monthly deposits</t>
  </si>
  <si>
    <t>net debt issues</t>
  </si>
  <si>
    <t>beginning of month principal</t>
  </si>
  <si>
    <t>: risk free return</t>
  </si>
  <si>
    <t>: target rate</t>
  </si>
  <si>
    <t>: CF1</t>
  </si>
  <si>
    <t>: N1</t>
  </si>
  <si>
    <t>Multiple setup (AP1)</t>
  </si>
  <si>
    <t>PortTheory!$B$230</t>
  </si>
  <si>
    <t>AP1a/AP1b/AP1c  Find required returns given CAPM parameters (market return)</t>
  </si>
  <si>
    <t>Multiple setup (AP4)</t>
  </si>
  <si>
    <t>PortTheory!$B$245</t>
  </si>
  <si>
    <t>MC12  Find FV long after making the last of two irregular and different deposits</t>
  </si>
  <si>
    <t>FV5  Find FV given PV and withdrawal history</t>
  </si>
  <si>
    <t>: withdrawal</t>
  </si>
  <si>
    <t>: necessary pv</t>
  </si>
  <si>
    <t>: balance0</t>
  </si>
  <si>
    <t>: balanceN</t>
  </si>
  <si>
    <t>GeneralPV!$B$446</t>
  </si>
  <si>
    <t>ending time of second cash flow stream (relative to today)</t>
  </si>
  <si>
    <t>Curr. assets</t>
  </si>
  <si>
    <t>the annual average rate of return over the past 70 years has been higher for T-bills than for large company stocks</t>
  </si>
  <si>
    <t>periods per year</t>
  </si>
  <si>
    <t>amount of deposit</t>
  </si>
  <si>
    <t>total interest-on-principal</t>
  </si>
  <si>
    <t>FA1!$J$841</t>
  </si>
  <si>
    <t>FA15bm Stock ROR</t>
  </si>
  <si>
    <t>MC1a  Find FV of 3 consecutive but different annual deposits</t>
  </si>
  <si>
    <t>Multiple setup (MC1)</t>
  </si>
  <si>
    <t>LumpSum!$B$711</t>
  </si>
  <si>
    <t>an asset-backed bond may give the bond-holder cash flows paid by consumers toward credit card debt</t>
  </si>
  <si>
    <t>an asset-backed bond may give the bond-holder cash flows paid by homeowners on home mortgage loans</t>
  </si>
  <si>
    <t>Multiple setup (CY11)</t>
  </si>
  <si>
    <t>LumpSum!$B$518</t>
  </si>
  <si>
    <t>ROR1</t>
  </si>
  <si>
    <t>ROR2</t>
  </si>
  <si>
    <t>avg</t>
  </si>
  <si>
    <t>: months lumpsum</t>
  </si>
  <si>
    <t>: months annuity</t>
  </si>
  <si>
    <t>: monthly withdrawal</t>
  </si>
  <si>
    <t>: fv lumpsum</t>
  </si>
  <si>
    <t>: fv annuity</t>
  </si>
  <si>
    <t>FV11 Find FV given lumpsum followed by savings annuity</t>
  </si>
  <si>
    <t>GeneralPV!$B$487</t>
  </si>
  <si>
    <t>FV12 Find FV given lumpsum followed by withdrawal annuity</t>
  </si>
  <si>
    <t>GeneralPV!$B$502</t>
  </si>
  <si>
    <t>taking a short position on SP500 stocks and a short position on SP500 futures contracts in order to capitalize on fleeting price discrepancies</t>
  </si>
  <si>
    <t>price-to-book ratio, 2525</t>
  </si>
  <si>
    <t>sales, 2526</t>
  </si>
  <si>
    <t>gross margin, 2526</t>
  </si>
  <si>
    <t>depreciation, 2526</t>
  </si>
  <si>
    <t>interest rate for Debt</t>
  </si>
  <si>
    <t>net income, 2526</t>
  </si>
  <si>
    <t>calendar, stock market, and all public and privately available data</t>
  </si>
  <si>
    <t>weight2 @ minimum risk</t>
  </si>
  <si>
    <t>namelist for 1</t>
  </si>
  <si>
    <t>namelist for 2</t>
  </si>
  <si>
    <t>Growth Stocks</t>
  </si>
  <si>
    <t>US Stocks</t>
  </si>
  <si>
    <t>International Stocks</t>
  </si>
  <si>
    <t>Junk Bonds</t>
  </si>
  <si>
    <t>sales during previous year</t>
  </si>
  <si>
    <t>call: asset price at expiry</t>
  </si>
  <si>
    <t>put: asset price at expiry</t>
  </si>
  <si>
    <t>real riskfree rate</t>
  </si>
  <si>
    <t>BD3bm  Find this seasoned bond’s price when you later sell it (constant ytm)</t>
  </si>
  <si>
    <t>CY8  Find PV given a future liability, N, r, and intraperiod compounding</t>
  </si>
  <si>
    <t>LumpSum!$B$562</t>
  </si>
  <si>
    <r>
      <t>BA4am  Find 2</t>
    </r>
    <r>
      <rPr>
        <b/>
        <i/>
        <vertAlign val="superscript"/>
        <sz val="12"/>
        <rFont val="Arial"/>
        <family val="2"/>
      </rPr>
      <t>nd</t>
    </r>
    <r>
      <rPr>
        <b/>
        <i/>
        <sz val="12"/>
        <rFont val="Arial"/>
        <family val="2"/>
      </rPr>
      <t xml:space="preserve"> year’s cash flow in two-period venture capitalist model</t>
    </r>
  </si>
  <si>
    <t>FA1!$B$439</t>
  </si>
  <si>
    <t>:vMask50</t>
  </si>
  <si>
    <t>: weight Y</t>
  </si>
  <si>
    <t>: risk X</t>
  </si>
  <si>
    <t>the dividend yield is less predictable and riskier than the capital gains yield</t>
  </si>
  <si>
    <t>Conceptual!$B$1294</t>
  </si>
  <si>
    <t>TR22  Partition the total ROR for stocks</t>
  </si>
  <si>
    <t>True :</t>
  </si>
  <si>
    <t>False :</t>
  </si>
  <si>
    <t xml:space="preserve">TR23 T/F Std.Deviation treatment of upside v downside </t>
  </si>
  <si>
    <t>Conceptual!$B$1306</t>
  </si>
  <si>
    <t>the standard deviation treats extreme upside and downside returns as having the same risk even though investors perceive upside returns as good opportunities</t>
  </si>
  <si>
    <t>TeacherQuestions!$B$252</t>
  </si>
  <si>
    <t>: depreciation%</t>
  </si>
  <si>
    <t>: TA(2525)</t>
  </si>
  <si>
    <t>: target PP&amp;E</t>
  </si>
  <si>
    <t>: target TA(2526)</t>
  </si>
  <si>
    <t>: target S(t)/TA(t)</t>
  </si>
  <si>
    <t>TeacherQuestions!$B$157</t>
  </si>
  <si>
    <t>BE7 Find Sales needed to reach target ROE</t>
  </si>
  <si>
    <t>: ROE actual</t>
  </si>
  <si>
    <t>: EAC (=net income)</t>
  </si>
  <si>
    <t>: rL</t>
  </si>
  <si>
    <t>: RL</t>
  </si>
  <si>
    <t>: adjustment</t>
  </si>
  <si>
    <t xml:space="preserve">true: </t>
  </si>
  <si>
    <t>wrong1:</t>
  </si>
  <si>
    <t>wrong2:</t>
  </si>
  <si>
    <t>: rH</t>
  </si>
  <si>
    <t>: RH</t>
  </si>
  <si>
    <t>CapBud!$B$324</t>
  </si>
  <si>
    <t>: average age(1)</t>
  </si>
  <si>
    <t>: Inventory(1)</t>
  </si>
  <si>
    <t>: source of financing</t>
  </si>
  <si>
    <t>FA1!$B$820</t>
  </si>
  <si>
    <t>EFN7 Find source of funds given reduction in average age</t>
  </si>
  <si>
    <t>BA12a  Find price given sales and ratios</t>
  </si>
  <si>
    <t>BA12b  Find shareholder ROR given sales and ratios</t>
  </si>
  <si>
    <t>Multiple setup (BA12)</t>
  </si>
  <si>
    <t>: stockholder equity 2525</t>
  </si>
  <si>
    <t>BS4  Who gets the money left on the table in an IPO</t>
  </si>
  <si>
    <t>Conceptual!$B$406</t>
  </si>
  <si>
    <t>Multiple setup (SV3)</t>
  </si>
  <si>
    <t>stocks!$B$293</t>
  </si>
  <si>
    <t>SV3b  Find AND(intrinsic value, inference) given sustainable growth and DuPont</t>
  </si>
  <si>
    <t>stocks!$F$293</t>
  </si>
  <si>
    <t>CC1  Simple cost of capital</t>
  </si>
  <si>
    <t>:  riskfree rate</t>
  </si>
  <si>
    <t>: market risk premium</t>
  </si>
  <si>
    <t>: breakeven coupon</t>
  </si>
  <si>
    <t>C- true</t>
  </si>
  <si>
    <t>BondApps!$B$301</t>
  </si>
  <si>
    <t>the total market capitalization of listed companies is less on NASDAQ than on the NYSE</t>
  </si>
  <si>
    <t>LumpSum!$F$501</t>
  </si>
  <si>
    <t>CY11a  Find actual FV given target FV, N, target r, and actual r (intraperiod compounding)</t>
  </si>
  <si>
    <t>the annual average rate of return over the past 70 years has been higher for large company stocks than for corporate bonds"</t>
  </si>
  <si>
    <t>MB1  Historical risk &amp; return of major asset classes</t>
  </si>
  <si>
    <t xml:space="preserve">WRONGS </t>
  </si>
  <si>
    <t>CORRECT</t>
  </si>
  <si>
    <t>Conceptual!$B$845</t>
  </si>
  <si>
    <t>MB2  What are these money rates</t>
  </si>
  <si>
    <t>the prime rate is the base rate that big banks offer their best corporate clients</t>
  </si>
  <si>
    <t>BD20a find ytm1</t>
  </si>
  <si>
    <t>BondApps!$B$333</t>
  </si>
  <si>
    <t>decreases</t>
  </si>
  <si>
    <t>BD20b find change</t>
  </si>
  <si>
    <t>BondApps!$F$333</t>
  </si>
  <si>
    <t>increases</t>
  </si>
  <si>
    <t>an equity income fund invests in stocks with high amounts of net income</t>
  </si>
  <si>
    <t>an emerging market fund invests in stocks from rapidly growing but lesser developed economies</t>
  </si>
  <si>
    <t>PV13 Find PV for $1million CF given r</t>
  </si>
  <si>
    <t>an emerging market fund invests in stocks from international highly developed leading economies</t>
  </si>
  <si>
    <t>NPV|irrA</t>
  </si>
  <si>
    <t>NPV|irrB</t>
  </si>
  <si>
    <t>the discount rate equals the interest rate that Federal Reserve District Banks charge member banks for loans</t>
  </si>
  <si>
    <t>the discount rate equals the interest rate that Federal Reserve District Banks charge the U.S. Treasury for government debt</t>
  </si>
  <si>
    <t>C-T :</t>
  </si>
  <si>
    <t>C-F :</t>
  </si>
  <si>
    <t>A-T :</t>
  </si>
  <si>
    <t>A-F :</t>
  </si>
  <si>
    <t>B-T :</t>
  </si>
  <si>
    <t>B-F :</t>
  </si>
  <si>
    <t>the prime rate is the interest rate that the largest banks charge the best corporate customers</t>
  </si>
  <si>
    <t>a rating change from C to B implies the spread between the bond and Treasuries probably will widen</t>
  </si>
  <si>
    <t>MC4  Find today's PV of 2 irregular and different annual expenses</t>
  </si>
  <si>
    <t>payment frequency (adverb)</t>
  </si>
  <si>
    <t>future value</t>
  </si>
  <si>
    <t>the NYSE comprises a physical location whereas NASDAQ is a sophisticated telecommunications network</t>
  </si>
  <si>
    <t>exchange ratio</t>
  </si>
  <si>
    <t xml:space="preserve">Multiple setup (BA3m) </t>
  </si>
  <si>
    <t xml:space="preserve">Multiple setup (BA4m) </t>
  </si>
  <si>
    <t>: ending stock price</t>
  </si>
  <si>
    <t>: ROR</t>
  </si>
  <si>
    <t>Options!$B$109</t>
  </si>
  <si>
    <t>Options!$F$109</t>
  </si>
  <si>
    <t>today's shareprice</t>
  </si>
  <si>
    <t>put strike</t>
  </si>
  <si>
    <t>call strike</t>
  </si>
  <si>
    <t>put price</t>
  </si>
  <si>
    <t>call price</t>
  </si>
  <si>
    <t>pmt=</t>
  </si>
  <si>
    <t>rate upon sell</t>
  </si>
  <si>
    <t>CB6  Make an inference based on coordinates from NPV profile?</t>
  </si>
  <si>
    <t>CapBud!$B$108</t>
  </si>
  <si>
    <t>Multiple setup (CB3m)</t>
  </si>
  <si>
    <t>CB3am  Refinancing example, AMORTIZE fees, find NPV</t>
  </si>
  <si>
    <t>CapBud!$B$132</t>
  </si>
  <si>
    <t>CB3bm  Refinancing example, AMORTIZE fees, find interest savings over life of loan</t>
  </si>
  <si>
    <t>CapBud!$F$132</t>
  </si>
  <si>
    <t>CB3cm  Refinancing example, PREPAY fees, find NPV</t>
  </si>
  <si>
    <t>CapBud!$J$132</t>
  </si>
  <si>
    <t>Multiple setup (ROR3)</t>
  </si>
  <si>
    <t>LumpSum!$B$66</t>
  </si>
  <si>
    <t>ROR3b  What is arithmetic average ROR given 3 prices</t>
  </si>
  <si>
    <t>LumpSum!$F$66</t>
  </si>
  <si>
    <t>ROR3c  What is AND(geometric,arithmetic) average ROR given 3 prices</t>
  </si>
  <si>
    <t>LumpSum!$J$66</t>
  </si>
  <si>
    <t>CB23  Find pv(depreciation tax savings) w/ 4-year MACRS</t>
  </si>
  <si>
    <t>: selling price</t>
  </si>
  <si>
    <t>: recapture taxes</t>
  </si>
  <si>
    <t>: net proceeds</t>
  </si>
  <si>
    <t>Conceptual!$B$1390</t>
  </si>
  <si>
    <t>daily volume averages $30-to-$50 billion and about 2,400-to-3,000 securities are listed</t>
  </si>
  <si>
    <t>BD5c  Riding the yield curve problem; 1-year horizon, 1 vs. AND(2,3) year bond</t>
  </si>
  <si>
    <t>AM5b  How long to reduce principal so x% remains</t>
  </si>
  <si>
    <t>GeneralPV!$B$247</t>
  </si>
  <si>
    <t>return on equity</t>
  </si>
  <si>
    <t>retention ratio</t>
  </si>
  <si>
    <t>required rate of return</t>
  </si>
  <si>
    <t xml:space="preserve">intrinsic value(0) </t>
  </si>
  <si>
    <t>dividend(0)</t>
  </si>
  <si>
    <t>FV</t>
  </si>
  <si>
    <t>FA1!$F$268</t>
  </si>
  <si>
    <t>FA3gm  Find the total wealth transfer for merger setting</t>
  </si>
  <si>
    <t>FA1!$J$268</t>
  </si>
  <si>
    <t>Pairs of FA3hm:</t>
  </si>
  <si>
    <t>FA3hm  Choose correct effect on shareholder wealth for merger setting</t>
  </si>
  <si>
    <t>FA1!$N$268</t>
  </si>
  <si>
    <t>FA4  Find company price-to-book in a simple setting and make an inference</t>
  </si>
  <si>
    <t>FA1!$B$281</t>
  </si>
  <si>
    <t>FA5  Find market cap and price/book for simplist setting</t>
  </si>
  <si>
    <t>FA1!$B$294</t>
  </si>
  <si>
    <t>a short payback period is worse than a long payback period</t>
  </si>
  <si>
    <t>the payback period ignores cash flows occurring after the payback point is reached</t>
  </si>
  <si>
    <t>: inflation</t>
  </si>
  <si>
    <t>: price(n)</t>
  </si>
  <si>
    <t>LumpSum!$B$930</t>
  </si>
  <si>
    <t>LS23  Find price(n) given price(0) and inflation rate</t>
  </si>
  <si>
    <t>FF32:Describe the Board of Directors</t>
  </si>
  <si>
    <t>Conceptual!$B$1616</t>
  </si>
  <si>
    <t>They usually are not employees of the company</t>
  </si>
  <si>
    <t>They usually are highly paid employees of the company</t>
  </si>
  <si>
    <t>They often are successful outsiders with careers unrelated to the mission of the company</t>
  </si>
  <si>
    <t>AP5b Find AND(required,expected) ROR from CAPM and dividend growth model given simple setup</t>
  </si>
  <si>
    <t>PortTheory!$F$301</t>
  </si>
  <si>
    <t>FF31 The company goal</t>
  </si>
  <si>
    <t>maximize wealth creation</t>
  </si>
  <si>
    <t>Conceptual!$B$1600</t>
  </si>
  <si>
    <t>ST21  Find ROR given P(0), zero dividends until time N, and perpetuity thereafter</t>
  </si>
  <si>
    <t>stocks!$B$443</t>
  </si>
  <si>
    <t>DS2a/DS2b  Find ROR on speculative call investment given option price, shareprice, and % change in shareprice</t>
  </si>
  <si>
    <t>DS2c/DS2d  Find ROR on speculative put investment given option price, shareprice, and % change in shareprice</t>
  </si>
  <si>
    <t>Options!$F$307</t>
  </si>
  <si>
    <t>option(call/put)</t>
  </si>
  <si>
    <t>Options!$J$307</t>
  </si>
  <si>
    <t>:  distance to go</t>
  </si>
  <si>
    <t>: DJIA milepost</t>
  </si>
  <si>
    <t>: average change in price</t>
  </si>
  <si>
    <t>: beginning average</t>
  </si>
  <si>
    <t>TeacherQuestions!$B$51</t>
  </si>
  <si>
    <t>passes through two points with coordinates (beta, rate of return) equal to (0,  risk-free rate) and (1, expected market return)</t>
  </si>
  <si>
    <t>: new asset turnover</t>
  </si>
  <si>
    <t>sales :</t>
  </si>
  <si>
    <t>costs :</t>
  </si>
  <si>
    <t>net income :</t>
  </si>
  <si>
    <t>New RE</t>
  </si>
  <si>
    <t>: new TA</t>
  </si>
  <si>
    <t>: new sources of financing</t>
  </si>
  <si>
    <t>: EFN</t>
  </si>
  <si>
    <t>FA1!$B$70</t>
  </si>
  <si>
    <t>an investment which generates equal cash flows each period.</t>
  </si>
  <si>
    <t>counter-offer premium</t>
  </si>
  <si>
    <t>beta for A</t>
  </si>
  <si>
    <t>expected return for A</t>
  </si>
  <si>
    <t>beta for B</t>
  </si>
  <si>
    <t>2W, 3U, 4X, 5Z, 6V</t>
  </si>
  <si>
    <t>Conceptual!$B$1317</t>
  </si>
  <si>
    <t>BS34  Mutual fund objective - matching game</t>
  </si>
  <si>
    <t>no. shares Target tenders</t>
  </si>
  <si>
    <t>call premium</t>
  </si>
  <si>
    <t>% allocation to calls</t>
  </si>
  <si>
    <t>months</t>
  </si>
  <si>
    <t># of calls</t>
  </si>
  <si>
    <t>Multiple setup (GR3)</t>
  </si>
  <si>
    <t>Conceptual!$B$740</t>
  </si>
  <si>
    <t>FF20  Principal-agent relation and contested wealth</t>
  </si>
  <si>
    <t>Conceptual!$B$280</t>
  </si>
  <si>
    <t>: gross margin</t>
  </si>
  <si>
    <t>: depreciation</t>
  </si>
  <si>
    <t>: interest</t>
  </si>
  <si>
    <t>MR3bm  Find risk minimizing weight given risks and correlation</t>
  </si>
  <si>
    <t>PortTheory!$F$183</t>
  </si>
  <si>
    <t>price, t=3</t>
  </si>
  <si>
    <t>ror3</t>
  </si>
  <si>
    <t>no arbitrage futures price given spot price</t>
  </si>
  <si>
    <t>venture financing</t>
  </si>
  <si>
    <t>FivePairs</t>
  </si>
  <si>
    <t>r</t>
  </si>
  <si>
    <t>initial currency per usd</t>
  </si>
  <si>
    <t>required bid in currency</t>
  </si>
  <si>
    <t>adoption of the Euro makes it more difficult for Europeon businesses to raise capita</t>
  </si>
  <si>
    <t>FV4bm  Find FV from first of two different retirement strategies</t>
  </si>
  <si>
    <t>The EMH argues that stock prices adjust to new information within two minutes of when the information becomes publicly available.</t>
  </si>
  <si>
    <t>: Price(X)</t>
  </si>
  <si>
    <t>: futures price</t>
  </si>
  <si>
    <t>: no-arb spot price</t>
  </si>
  <si>
    <t>correct strategy :</t>
  </si>
  <si>
    <t>wrong strategy :</t>
  </si>
  <si>
    <t>: pv(arb profits)</t>
  </si>
  <si>
    <t>TeacherQuestions!$B$104</t>
  </si>
  <si>
    <t xml:space="preserve"> : annual ROR for buying a 3 year bond for 1-year</t>
  </si>
  <si>
    <t>deposit size</t>
  </si>
  <si>
    <t>annual interest rate</t>
  </si>
  <si>
    <t>FV youngster</t>
  </si>
  <si>
    <t>FV oldtimer</t>
  </si>
  <si>
    <t>:vMask05</t>
  </si>
  <si>
    <t>MB24 T/F Bond versus stock daily trading volume</t>
  </si>
  <si>
    <t>Conceptual!$B$1760</t>
  </si>
  <si>
    <t>BA10cm find shareholder ROR</t>
  </si>
  <si>
    <t>BA10bm find #shs issued</t>
  </si>
  <si>
    <t>BA10dm find new SE&amp;#shs</t>
  </si>
  <si>
    <t>FA1!$B$720</t>
  </si>
  <si>
    <t>equity, 2525</t>
  </si>
  <si>
    <t>P/E</t>
  </si>
  <si>
    <t>LS11  Find PV given today’s periodic interest with annual compounding</t>
  </si>
  <si>
    <t>LumpSum!$B$243</t>
  </si>
  <si>
    <t>LS1  Compare two PV choices and find best one</t>
  </si>
  <si>
    <t>LumpSum!$B$258</t>
  </si>
  <si>
    <t>LS2  Find optimal switch point given annual compounding</t>
  </si>
  <si>
    <t>LumpSum!$B$273</t>
  </si>
  <si>
    <t>CB2c  Given alternative investment’s cash flows, at what  NPV are the projects equally worthy</t>
  </si>
  <si>
    <t>CapBud!$J$163</t>
  </si>
  <si>
    <t>EFN2cm  Find new TL given sales growth, changing net profit margin, &amp; no financing</t>
  </si>
  <si>
    <t>FA1!$J$665</t>
  </si>
  <si>
    <t>Businesses typically borrow money from stakeholders such as employees and promise to repay superior wages in the future.</t>
  </si>
  <si>
    <t>Businesses borrow money from financial markets to purchase capital goods, labor, and other productive services from stakeholders.</t>
  </si>
  <si>
    <t>Businesses borrow money from stakeholders to purchase capital goods, labor, and other productive services from financial markets.</t>
  </si>
  <si>
    <t>Conceptual!$B$780</t>
  </si>
  <si>
    <t>TR1  Rule of 72</t>
  </si>
  <si>
    <t>Internal Growth and Changing p/e</t>
  </si>
  <si>
    <t>FV1am  Find FV given two different and consecutive deposit histories</t>
  </si>
  <si>
    <t>Multiple setup (FV1m)</t>
  </si>
  <si>
    <t>: months from now that you withdraw accumulation</t>
  </si>
  <si>
    <t>DS6am  Call option portfolio insurance, find outcome given percent change in shareprice</t>
  </si>
  <si>
    <t>CB10  Straight-line, no salvage value, 3-year cash flow stream</t>
  </si>
  <si>
    <t>: financing rate</t>
  </si>
  <si>
    <t>: sales 1</t>
  </si>
  <si>
    <t>: variable costs</t>
  </si>
  <si>
    <t>: CF 1</t>
  </si>
  <si>
    <t>: sales 2</t>
  </si>
  <si>
    <t>: tax rate</t>
  </si>
  <si>
    <t>: CF 2</t>
  </si>
  <si>
    <t>: sales 3</t>
  </si>
  <si>
    <t>: NPV</t>
  </si>
  <si>
    <t>: CF 3</t>
  </si>
  <si>
    <t>CapBud!$B$195</t>
  </si>
  <si>
    <t>: max ror</t>
  </si>
  <si>
    <t>Options!$B$440</t>
  </si>
  <si>
    <t>DS23 buy-and ride max gain</t>
  </si>
  <si>
    <t>DS24  commodity option profit</t>
  </si>
  <si>
    <t>: bushel price at expiry</t>
  </si>
  <si>
    <t>: profit on call contract</t>
  </si>
  <si>
    <t>Options!$B$454</t>
  </si>
  <si>
    <t>risk2</t>
  </si>
  <si>
    <t xml:space="preserve"> : 1 year horizon: gain on 2 v. 1 yr</t>
  </si>
  <si>
    <t xml:space="preserve"> : 1 year horizon: gain on 3 v. 1 yr</t>
  </si>
  <si>
    <t>:vMask20</t>
  </si>
  <si>
    <t>:vMask30</t>
  </si>
  <si>
    <t>:vMask40</t>
  </si>
  <si>
    <t>target pretax margin</t>
  </si>
  <si>
    <t>actual pretax margin</t>
  </si>
  <si>
    <t>CB20  Find biggest NPV for simple story</t>
  </si>
  <si>
    <t>CB21  Compare discounted depreciation tax shield</t>
  </si>
  <si>
    <t>: straight-line tax savings</t>
  </si>
  <si>
    <t>: 4-year macrs</t>
  </si>
  <si>
    <t>CapBud!$B$334</t>
  </si>
  <si>
    <t>BD4bm  Find price percentage changes for two zero coupon bonds given changing ytm</t>
  </si>
  <si>
    <t>BondApps!$F$114</t>
  </si>
  <si>
    <r>
      <t xml:space="preserve">The </t>
    </r>
    <r>
      <rPr>
        <i/>
        <sz val="12"/>
        <rFont val="Arial"/>
        <family val="2"/>
      </rPr>
      <t>OTC Bulletin Board (OTCBB)</t>
    </r>
    <r>
      <rPr>
        <sz val="12"/>
        <rFont val="Arial"/>
        <family val="2"/>
      </rPr>
      <t xml:space="preserve"> began operations in June 1990 to provide transparency in the over-the-counter equities market. The </t>
    </r>
    <r>
      <rPr>
        <i/>
        <sz val="12"/>
        <rFont val="Arial"/>
        <family val="2"/>
      </rPr>
      <t>OTCBB</t>
    </r>
    <r>
      <rPr>
        <sz val="12"/>
        <rFont val="Arial"/>
        <family val="2"/>
      </rPr>
      <t xml:space="preserve"> provides price quotes for stocks for companies that register and file financial statements with the SEC.  Average share price for OTCBB stocks is about ten cents a share.</t>
    </r>
  </si>
  <si>
    <r>
      <t xml:space="preserve">The </t>
    </r>
    <r>
      <rPr>
        <i/>
        <sz val="12"/>
        <rFont val="Arial"/>
        <family val="2"/>
      </rPr>
      <t>OTC Bulletin Board (OTCBB)</t>
    </r>
    <r>
      <rPr>
        <sz val="12"/>
        <rFont val="Arial"/>
        <family val="2"/>
      </rPr>
      <t xml:space="preserve"> began operations in June 1990 to provide transparency in the over-the-counter equities market. The average share price for </t>
    </r>
    <r>
      <rPr>
        <i/>
        <sz val="12"/>
        <rFont val="Arial"/>
        <family val="2"/>
      </rPr>
      <t>OTCBB</t>
    </r>
    <r>
      <rPr>
        <sz val="12"/>
        <rFont val="Arial"/>
        <family val="2"/>
      </rPr>
      <t xml:space="preserve"> stocks is about $10 a share.</t>
    </r>
  </si>
  <si>
    <t>Conceptual!$B$1560</t>
  </si>
  <si>
    <t>TR35  T/F  For equal risk X and Y find the minimum risk allocation</t>
  </si>
  <si>
    <t>Allocate half the money to X and half to Y because this creates the minimum risk portfolio for this case.</t>
  </si>
  <si>
    <t>Analyze historical stock returns for X and Y and invest all money in the stock that had the best performance last year.</t>
  </si>
  <si>
    <t>Conceptual!$B$1572</t>
  </si>
  <si>
    <t>ST6  Find V given div(0), g, P(1), and r</t>
  </si>
  <si>
    <t>stocks!$B$206</t>
  </si>
  <si>
    <t>ST2am  Find intrinsic value  given dividend history and required ROR</t>
  </si>
  <si>
    <t>Multiple setup (ST2)</t>
  </si>
  <si>
    <t>stocks!$B$222</t>
  </si>
  <si>
    <t>highest ror</t>
  </si>
  <si>
    <t>the annual average rate of return over the past 70 years has been higher for small company stocks than for large company stocks</t>
  </si>
  <si>
    <t>ROR2  What is geometric and arithmetic average ROR given 4 prices</t>
  </si>
  <si>
    <t>LumpSum!$B$50</t>
  </si>
  <si>
    <t>PR1a  Relative purchasing power parity, find next year's rate</t>
  </si>
  <si>
    <t>Multiple setup (PR1a)</t>
  </si>
  <si>
    <t>Intntl!$B$206</t>
  </si>
  <si>
    <t>the value of outstanding asset-backed securities has grown from about $3 million in 1985 to about $1 billion now</t>
  </si>
  <si>
    <t>TeacherQuestions!$B$90</t>
  </si>
  <si>
    <t>lowest ror</t>
  </si>
  <si>
    <t>greater</t>
  </si>
  <si>
    <t>less</t>
  </si>
  <si>
    <t>feasible alloctions to X</t>
  </si>
  <si>
    <t>feasible alloctions to Y</t>
  </si>
  <si>
    <t>ER6 Dominance example</t>
  </si>
  <si>
    <t>PortTheory!$B$383</t>
  </si>
  <si>
    <t>TR4  For which stream is the present value the biggest</t>
  </si>
  <si>
    <t>Conceptual!$B$789</t>
  </si>
  <si>
    <t>TR10  PE ratio and dividend growth dynamics</t>
  </si>
  <si>
    <t>Conceptual!$B$806</t>
  </si>
  <si>
    <t>TR16  risk characteristics</t>
  </si>
  <si>
    <t>BS27  euro introduction</t>
  </si>
  <si>
    <t>BS28  motivation for euro</t>
  </si>
  <si>
    <t>FF21  T/F, annual statement relation to quarterly statements</t>
  </si>
  <si>
    <t>FF22  What are sources and uses of funds</t>
  </si>
  <si>
    <t>BS29  Venture capitalist characteristics</t>
  </si>
  <si>
    <t>it has the largest  market capitalization of any stock exchange in the world</t>
  </si>
  <si>
    <t>A-F:</t>
  </si>
  <si>
    <t>it has the second largest market capitalization of any stock exchange in the world</t>
  </si>
  <si>
    <t>: cost</t>
  </si>
  <si>
    <t>: eps is a profit or loss</t>
  </si>
  <si>
    <t>profit</t>
  </si>
  <si>
    <t>loss</t>
  </si>
  <si>
    <t>: rate</t>
  </si>
  <si>
    <t>: principal</t>
  </si>
  <si>
    <t>: payment amount</t>
  </si>
  <si>
    <t>Debt(0)</t>
  </si>
  <si>
    <t>modifiers:</t>
  </si>
  <si>
    <t>average ror, arithmetic</t>
  </si>
  <si>
    <t>rate of return on investments</t>
  </si>
  <si>
    <t>AF</t>
  </si>
  <si>
    <t>BT</t>
  </si>
  <si>
    <t>BF</t>
  </si>
  <si>
    <t>conglomerate market cap</t>
  </si>
  <si>
    <t>Conceptual!$B$1035</t>
  </si>
  <si>
    <t>: today's foreign currency per domestic currency</t>
  </si>
  <si>
    <t>FA1!$F$260</t>
  </si>
  <si>
    <t>FA3cm  Find conglomerate share price</t>
  </si>
  <si>
    <t>FA1!$J$260</t>
  </si>
  <si>
    <t>FA3dm  Find the new earnings per share for merged statements</t>
  </si>
  <si>
    <t>FA1!$N$260</t>
  </si>
  <si>
    <t>percent change in wealth given ending shareprice</t>
  </si>
  <si>
    <t>FV16  Find CF given FV, r, and N (monthly compounding)</t>
  </si>
  <si>
    <t>Conceptual!$B$1246</t>
  </si>
  <si>
    <t>LS4e  Find OR(total interest, total interest-on-interest, total interest-on-interest) of a deposit long ago given annual compounding</t>
  </si>
  <si>
    <t>LumpSum!$F$157</t>
  </si>
  <si>
    <t>PortTheory!$B$830</t>
  </si>
  <si>
    <t>BE10 Find Sales needed to reach target ROR</t>
  </si>
  <si>
    <t>BE10a Find sales providing target ROR</t>
  </si>
  <si>
    <t>PortTheory!$F$830</t>
  </si>
  <si>
    <t>BE10b Find AND(Net Income, Sales) providing target ROR</t>
  </si>
  <si>
    <t>cum int=</t>
  </si>
  <si>
    <t>total wealth transfer from Raider to Target</t>
  </si>
  <si>
    <t>initial equity financing rate</t>
  </si>
  <si>
    <t>inflation premium</t>
  </si>
  <si>
    <t>post-shock equity financing rate</t>
  </si>
  <si>
    <t>market risk premium</t>
  </si>
  <si>
    <t>initial intrinsic value</t>
  </si>
  <si>
    <t>CY3c  Find OR(APR,EAR) given doubling period and intraperiod compounding</t>
  </si>
  <si>
    <t>LumpSum!$J$636</t>
  </si>
  <si>
    <t>: annual CF</t>
  </si>
  <si>
    <t>GeneralPV!$B$605</t>
  </si>
  <si>
    <t>PV12 Find PV for perpetuity paying for business professor</t>
  </si>
  <si>
    <t>the interest rate normally is greater on short-term corporate bonds than on long-term corporate bonds</t>
  </si>
  <si>
    <t>: equity-to-assets</t>
  </si>
  <si>
    <t>: beta</t>
  </si>
  <si>
    <t>: wacc</t>
  </si>
  <si>
    <t>: pretax debt rate</t>
  </si>
  <si>
    <t>: equity financing rate</t>
  </si>
  <si>
    <t>PortTheory!$B$706</t>
  </si>
  <si>
    <t>CC2 NPV of perpetual savings</t>
  </si>
  <si>
    <t>PortTheory!$B$724</t>
  </si>
  <si>
    <t xml:space="preserve"> daily currency trading around the world is about the same volume as on the US equity markets</t>
  </si>
  <si>
    <t>growth rate</t>
  </si>
  <si>
    <t>total rate of return</t>
  </si>
  <si>
    <t>price(1)</t>
  </si>
  <si>
    <t>sales, 2525</t>
  </si>
  <si>
    <t>CapBud!$F$294</t>
  </si>
  <si>
    <t>CB19b  and(NPV,irr)</t>
  </si>
  <si>
    <t>CB18b  and(NPV,irr)</t>
  </si>
  <si>
    <t>the Treasury bill rate is a rate on 30-year U.S. government bonds</t>
  </si>
  <si>
    <t>stocks with high betas also have large standard deviations of returns</t>
  </si>
  <si>
    <t>the standard deviation of expected returns for a stock are unrelated to its equilibrium rates of return</t>
  </si>
  <si>
    <t>stocks with large standard deviations of expected returns earn high equilibrium rates of return</t>
  </si>
  <si>
    <t>MB11  Equity trading behavior</t>
  </si>
  <si>
    <t>With an interest rate increase the price rises more for long-term bonds than for short-term bonds</t>
  </si>
  <si>
    <t>Conceptual!$B$914</t>
  </si>
  <si>
    <t>MB8  Bond ratings</t>
  </si>
  <si>
    <t>publicly traded bond prices move dramatically when a rating change is announced</t>
  </si>
  <si>
    <t>TR34  T/F  Moving average trading strategy</t>
  </si>
  <si>
    <t>Conceptual!$B$1544</t>
  </si>
  <si>
    <t>BS36: Characteristics of the NSX, PCX, PHLX, Pink sheets, and OTCBB</t>
  </si>
  <si>
    <t>MB23  Find new DJIA given a stock split</t>
  </si>
  <si>
    <t>: DJIA(0)</t>
  </si>
  <si>
    <t>: post-split shares</t>
  </si>
  <si>
    <t>: pre-split shares</t>
  </si>
  <si>
    <t>: sum of prices(0)</t>
  </si>
  <si>
    <t>: sum of prices(1)</t>
  </si>
  <si>
    <t>: sum w/o company X</t>
  </si>
  <si>
    <t>: company X post split price</t>
  </si>
  <si>
    <t>: sum w pre-split shares</t>
  </si>
  <si>
    <t>: DJIA(1)</t>
  </si>
  <si>
    <t>Conceptual!$B$1585</t>
  </si>
  <si>
    <t>: reduced rate</t>
  </si>
  <si>
    <t>: number of monthly savings</t>
  </si>
  <si>
    <t>: total interest savings</t>
  </si>
  <si>
    <t>GeneralPV!$B$30</t>
  </si>
  <si>
    <t>: term</t>
  </si>
  <si>
    <t>: payment</t>
  </si>
  <si>
    <t>: principal in last payment</t>
  </si>
  <si>
    <t>SixPairs</t>
  </si>
  <si>
    <t>repurchase price, 12/31/2527</t>
  </si>
  <si>
    <t>PortTheory!$B$59</t>
  </si>
  <si>
    <t>:true</t>
  </si>
  <si>
    <t>ER5  Find dominance or trade-off given probabilities and outcomes</t>
  </si>
  <si>
    <t>PortTheory!$B$73</t>
  </si>
  <si>
    <t>PortTheory!$B$87</t>
  </si>
  <si>
    <t>FA3em  Find Target capital gain per share tendered for merger setting</t>
  </si>
  <si>
    <t>FA1!$B$268</t>
  </si>
  <si>
    <r>
      <t>FA3fm Find the %change</t>
    </r>
    <r>
      <rPr>
        <b/>
        <i/>
        <sz val="12"/>
        <rFont val="Symbol"/>
        <family val="1"/>
        <charset val="2"/>
      </rPr>
      <t>(</t>
    </r>
    <r>
      <rPr>
        <b/>
        <i/>
        <sz val="12"/>
        <rFont val="Arial"/>
        <family val="2"/>
      </rPr>
      <t>Target wealth) for merger setting</t>
    </r>
  </si>
  <si>
    <t>CF1am  Find cash surplus given 1 balance sheet, some flows, and cash flow from assets</t>
  </si>
  <si>
    <t>FA1!$B$98</t>
  </si>
  <si>
    <t>CF1bm  Find cash flow to shareholders given 1 balance sheet, some flows, and cash flow from assets</t>
  </si>
  <si>
    <t>FA1!$F$98</t>
  </si>
  <si>
    <t>CF1cm  Find next year’s SE given 1 balance sheet, some flows, and cash flow from assets</t>
  </si>
  <si>
    <t>FA1!$J$98</t>
  </si>
  <si>
    <t>CF1d  Find OR(cash surplus, cash flow to shareholders, SE) given 1 balance, some flows, and cash flow from assets</t>
  </si>
  <si>
    <t>FA1!$B$106</t>
  </si>
  <si>
    <t>transformation value</t>
  </si>
  <si>
    <t>Conceptual!$B$1430</t>
  </si>
  <si>
    <t>LS7b  Find PV given today’s periodic interest on a deposit made long ago with annual compounding</t>
  </si>
  <si>
    <t>LumpSum!$F$171</t>
  </si>
  <si>
    <t>LS23  suppliers discount and best deal</t>
  </si>
  <si>
    <t>LumpSum!$B$190</t>
  </si>
  <si>
    <t>: foreign country</t>
  </si>
  <si>
    <t>TwoFromFour</t>
  </si>
  <si>
    <t>CB25  Find NPV etc for 3-year MACRS, constant EBITDA, no salvage value</t>
  </si>
  <si>
    <t>: savings</t>
  </si>
  <si>
    <t>: MACRS3</t>
  </si>
  <si>
    <t>EBITDA(1-t)</t>
  </si>
  <si>
    <t>e394+tD</t>
  </si>
  <si>
    <t>: pv(ebitda)/(1-pv(txd)))</t>
  </si>
  <si>
    <t>CapBud!$B$405</t>
  </si>
  <si>
    <t>CB25a  Find NPV</t>
  </si>
  <si>
    <t>CapBud!$F$405</t>
  </si>
  <si>
    <t>CB25b  Find NPV and IRR</t>
  </si>
  <si>
    <t>Options!$F$181</t>
  </si>
  <si>
    <t>FT1a  What is the profit on a speculative futures position</t>
  </si>
  <si>
    <t>Multiple setup (FT1)</t>
  </si>
  <si>
    <t>Options!$B$197</t>
  </si>
  <si>
    <t>FT1b  What is the ROR on a speculative futures position</t>
  </si>
  <si>
    <t>: wrong1</t>
  </si>
  <si>
    <t>: wrong2</t>
  </si>
  <si>
    <t>: target revenue in USD</t>
  </si>
  <si>
    <t>: foreign currency (FC)</t>
  </si>
  <si>
    <t>: FC per USD</t>
  </si>
  <si>
    <t>: target revenue in FC</t>
  </si>
  <si>
    <t>: change</t>
  </si>
  <si>
    <t>BE6 Total breakeven given target EAC</t>
  </si>
  <si>
    <t>: EAC target</t>
  </si>
  <si>
    <t>: Sales revenue at EACtarget</t>
  </si>
  <si>
    <t>: EBIT at EACtarget</t>
  </si>
  <si>
    <t>PortTheory!$B$483</t>
  </si>
  <si>
    <t>: risk Y</t>
  </si>
  <si>
    <t>: weight X</t>
  </si>
  <si>
    <t>: average risk</t>
  </si>
  <si>
    <t>: actual risk</t>
  </si>
  <si>
    <t>: diverisification benefit</t>
  </si>
  <si>
    <t>quasi-government enterprises that serve the public interest often issue bonds that pay the tax exempt interest rate</t>
  </si>
  <si>
    <t>corporations seeking sales growth by expanding overseas often issue bonds that pay the tax exempt interest rate</t>
  </si>
  <si>
    <t>Conceptual!$B$885</t>
  </si>
  <si>
    <t>MB10  Normal yield curve</t>
  </si>
  <si>
    <t>GeneralPV!$B$147</t>
  </si>
  <si>
    <t>PV2  Find each withdrawal given the initial deposit and N</t>
  </si>
  <si>
    <t>GeneralPV!$B$163</t>
  </si>
  <si>
    <t>variable</t>
  </si>
  <si>
    <t>AM6  How much of a loan can you afford</t>
  </si>
  <si>
    <t>The covariance equals the product of ρ times σ(X) times σ(Y) and always the signs of covariance and ρ are identical.</t>
  </si>
  <si>
    <t>The covariance equals ρ times σ(X) times σ(Y) and always the sign of covariance is opposite the sign of ρ.</t>
  </si>
  <si>
    <t>PortTheory!$B$690</t>
  </si>
  <si>
    <t>mask200</t>
  </si>
  <si>
    <t>BS24  Pension plan attributes</t>
  </si>
  <si>
    <t>Conceptual!$B$720</t>
  </si>
  <si>
    <t>BS17  Describe a venture capitalist</t>
  </si>
  <si>
    <t>CY11c  Find actual r given target FV, N, target r, and actual FV; WORD CHOICES</t>
  </si>
  <si>
    <t>LumpSum!$J$518</t>
  </si>
  <si>
    <t>the payback period measures cash flows occurring throughout the length of the entire cash flow stream</t>
  </si>
  <si>
    <t>Conceptual!$B$150</t>
  </si>
  <si>
    <t>CapBud!$B$17</t>
  </si>
  <si>
    <t>market value =</t>
  </si>
  <si>
    <t>Monthly compounding Alternative</t>
  </si>
  <si>
    <t>pv(cash flow 1)</t>
  </si>
  <si>
    <t>LumpSum!$B$217</t>
  </si>
  <si>
    <t>LumpSum!$B$35</t>
  </si>
  <si>
    <t>t=1</t>
  </si>
  <si>
    <t>t=2</t>
  </si>
  <si>
    <t>t=3</t>
  </si>
  <si>
    <t>IRR</t>
  </si>
  <si>
    <t>an asset-backed bond may give the bond-holder cash flows paid by consumers toward automobile loans</t>
  </si>
  <si>
    <r>
      <t xml:space="preserve"> : %</t>
    </r>
    <r>
      <rPr>
        <sz val="12"/>
        <rFont val="Symbol"/>
        <family val="1"/>
        <charset val="2"/>
      </rPr>
      <t>D</t>
    </r>
    <r>
      <rPr>
        <sz val="12"/>
        <rFont val="Arial"/>
        <family val="2"/>
      </rPr>
      <t xml:space="preserve"> A's price</t>
    </r>
  </si>
  <si>
    <r>
      <t>D</t>
    </r>
    <r>
      <rPr>
        <i/>
        <sz val="12"/>
        <rFont val="Arial"/>
        <family val="2"/>
      </rPr>
      <t xml:space="preserve"> Liabilities</t>
    </r>
  </si>
  <si>
    <t>true :</t>
  </si>
  <si>
    <t>FA3am  Find the new price-to-book ratio for merged statements</t>
  </si>
  <si>
    <t>FA1!$B$260</t>
  </si>
  <si>
    <t>FA3bm  Find the new price-to-earnings ratio for merged statements</t>
  </si>
  <si>
    <t>DS3a  Find shareprice such that ROR on speculative OR(call,put) is zero</t>
  </si>
  <si>
    <t>Multiple setup (DS3)</t>
  </si>
  <si>
    <t>Options!$B$322</t>
  </si>
  <si>
    <t>BD18  Find coupon rate providing comparable ytm</t>
  </si>
  <si>
    <t>: breakeven coupon rate</t>
  </si>
  <si>
    <t>stocks listed on the NYSE represent companies that satisfy stringent exchange requirements and request their stocks be listed</t>
  </si>
  <si>
    <t>wrongs :</t>
  </si>
  <si>
    <t>: expected eps1 if actual is good news</t>
  </si>
  <si>
    <t>: expected eps2 if actual is bad news</t>
  </si>
  <si>
    <t>: expected eps1 if actual is bad news</t>
  </si>
  <si>
    <t>N-years = N-semi</t>
  </si>
  <si>
    <t>: FV</t>
  </si>
  <si>
    <t>: total interest</t>
  </si>
  <si>
    <t>: interest on principal</t>
  </si>
  <si>
    <t>: interest on interest</t>
  </si>
  <si>
    <t>LumpSum!$B$888</t>
  </si>
  <si>
    <t>the interest rate probably is greater on high quality investment grade bonds than on junk bonds</t>
  </si>
  <si>
    <t>: V</t>
  </si>
  <si>
    <t>the future value interest factor for an annuity, FVIFA(r,N), equals the total accumulation in an account earning the periodic rate r that results from a series of N one-dollar deposits</t>
  </si>
  <si>
    <t>pesos</t>
  </si>
  <si>
    <t>sales(0)</t>
  </si>
  <si>
    <t>cgs fraction</t>
  </si>
  <si>
    <t>mask80</t>
  </si>
  <si>
    <t>Work Space</t>
  </si>
  <si>
    <t>Net income, 2527</t>
  </si>
  <si>
    <t>: company</t>
  </si>
  <si>
    <t>IBM</t>
  </si>
  <si>
    <t>Xerox</t>
  </si>
  <si>
    <t>AT&amp;T</t>
  </si>
  <si>
    <t>Microsoft</t>
  </si>
  <si>
    <t>: equilibrium forward rate</t>
  </si>
  <si>
    <t>CF(0)</t>
  </si>
  <si>
    <t>CF(1)</t>
  </si>
  <si>
    <t>CF(2)</t>
  </si>
  <si>
    <t>FV(2)</t>
  </si>
  <si>
    <t>initial intrinsic value / price</t>
  </si>
  <si>
    <t>:vMask02</t>
  </si>
  <si>
    <t>dividend(1)</t>
  </si>
  <si>
    <t>dividend(-1)</t>
  </si>
  <si>
    <t>average ror, geometric</t>
  </si>
  <si>
    <t>Alternative B</t>
  </si>
  <si>
    <t>effective annual rate</t>
  </si>
  <si>
    <t>NI / Sales</t>
  </si>
  <si>
    <t>TA / SE</t>
  </si>
  <si>
    <t>price / operating cash flow</t>
  </si>
  <si>
    <t>Options!$B$57</t>
  </si>
  <si>
    <t>short term notes</t>
  </si>
  <si>
    <t>portfolio, t=0</t>
  </si>
  <si>
    <t>arithmetic average ROR</t>
  </si>
  <si>
    <t>total change in wealth</t>
  </si>
  <si>
    <t>: rorX</t>
  </si>
  <si>
    <t>: rorY</t>
  </si>
  <si>
    <t>: rorZ</t>
  </si>
  <si>
    <t>: rorPORT</t>
  </si>
  <si>
    <t>FASB wants income statements to show only realized cash flows</t>
  </si>
  <si>
    <t>TR40 Relation between g, r and V in the constant growth model</t>
  </si>
  <si>
    <t>When g equals zero percent then the stock’s intrinsic value computes as the present value of a perpetuity, div/r.</t>
  </si>
  <si>
    <t>When g exceeds r then the stock’s intrinsic value tends to infinity, meaning the stock is priceless.</t>
  </si>
  <si>
    <t>When g exceeds r then the stock’s intrinsic value is negative, meaning the stock is worthless.</t>
  </si>
  <si>
    <t>Conceptual!$B$1712</t>
  </si>
  <si>
    <t>CY6c  Find total interest-on-principal with intraperiod compounding</t>
  </si>
  <si>
    <t>LumpSum!$J$478</t>
  </si>
  <si>
    <t>discount from Z</t>
  </si>
  <si>
    <t>: years</t>
  </si>
  <si>
    <t>GeneralPV!$B$420</t>
  </si>
  <si>
    <t>FV7  Simple find FV annuity</t>
  </si>
  <si>
    <t>FV8  Find and(FV,interest) for simple annuity</t>
  </si>
  <si>
    <t>GeneralPV!$B$433</t>
  </si>
  <si>
    <t>the discount rate measures the rate that the U.S. Treasury charges the Federal Reserve Board for loans</t>
  </si>
  <si>
    <t>the Certificate of Deposit rate is the amount that banks and credit unions pay to customers making deposits subject to restrictions on term and quantity</t>
  </si>
  <si>
    <t>correct pair:</t>
  </si>
  <si>
    <t>LS17  Find r given today's PV, a target FV and N</t>
  </si>
  <si>
    <t>LumpSum!$B$365</t>
  </si>
  <si>
    <t>LS18  Find r given the paintings original PV, today's FV and N</t>
  </si>
  <si>
    <t>LumpSum!$B$378</t>
  </si>
  <si>
    <t>LS19  Find r given doubling period</t>
  </si>
  <si>
    <t>LumpSum!$B$391</t>
  </si>
  <si>
    <t>W</t>
  </si>
  <si>
    <t>PV8 Find PV given CF and r (annual compounding, FV=0)</t>
  </si>
  <si>
    <t>: CF</t>
  </si>
  <si>
    <t>GeneralPV!$B$554</t>
  </si>
  <si>
    <t>terminal cash flow</t>
  </si>
  <si>
    <t>yrs</t>
  </si>
  <si>
    <t>tot#pmts</t>
  </si>
  <si>
    <t>: Total fixed costs</t>
  </si>
  <si>
    <t>: Operating breakeven point</t>
  </si>
  <si>
    <t>: EBIT</t>
  </si>
  <si>
    <t>: Interest</t>
  </si>
  <si>
    <t>: Taxes</t>
  </si>
  <si>
    <t>: Preferred dividends</t>
  </si>
  <si>
    <t>: total breakeven point</t>
  </si>
  <si>
    <t>: EAC</t>
  </si>
  <si>
    <t>: unit sales price</t>
  </si>
  <si>
    <t>: unit variable costs</t>
  </si>
  <si>
    <t>: Operating breakeven quantity</t>
  </si>
  <si>
    <t>FA10  Find change in market cap for simplest setting</t>
  </si>
  <si>
    <t>there is no reliable relationship between the distribution of cash flows and present value.</t>
  </si>
  <si>
    <t>years till retirement</t>
  </si>
  <si>
    <t>years youngster saves</t>
  </si>
  <si>
    <t>years oldtimer saves</t>
  </si>
  <si>
    <t>: riskfree rate</t>
  </si>
  <si>
    <t>: market portfolio rate</t>
  </si>
  <si>
    <t>MR2dm  Find AND(return,stddev) for minimum risk portfolio given returns, risks and correlation</t>
  </si>
  <si>
    <t>LS20  Find r given today's FV and this year's periodic interest</t>
  </si>
  <si>
    <t>LumpSum!$B$404</t>
  </si>
  <si>
    <t>:correct</t>
  </si>
  <si>
    <t>:wrong</t>
  </si>
  <si>
    <t>LS10a  Find actual FV given target FV, N, target r, and actual r</t>
  </si>
  <si>
    <t>Multiple setup (LS10)</t>
  </si>
  <si>
    <t>LumpSum!$B$420</t>
  </si>
  <si>
    <t>LS10b  Find actual r given target FV, N, target r, and actual FV</t>
  </si>
  <si>
    <t>LumpSum!$F$420</t>
  </si>
  <si>
    <t>LS10c  Find actual r given target FV, N, target r, and actual FV; WORD CHOICES</t>
  </si>
  <si>
    <t>LumpSum!$J$420</t>
  </si>
  <si>
    <t>LS21a  Find r given target FV, actual FV, and N</t>
  </si>
  <si>
    <t>Multiple setup (LS21)</t>
  </si>
  <si>
    <t>LumpSum!$B$434</t>
  </si>
  <si>
    <t>LS21b  Find r given target FV, actual FV, and N;  WORD CHOICES</t>
  </si>
  <si>
    <t>LumpSum!$F$434</t>
  </si>
  <si>
    <t>Currency</t>
  </si>
  <si>
    <t>equivalent of 1 currency</t>
  </si>
  <si>
    <t>: stock price</t>
  </si>
  <si>
    <t>: peer price-to-earnings</t>
  </si>
  <si>
    <t>: peer price-to-cash flow</t>
  </si>
  <si>
    <t>: peer price-to-book</t>
  </si>
  <si>
    <t>: company eps</t>
  </si>
  <si>
    <t>: company cf</t>
  </si>
  <si>
    <t>: company book value</t>
  </si>
  <si>
    <t>:vMask15</t>
  </si>
  <si>
    <t>A-true</t>
  </si>
  <si>
    <t>A-false</t>
  </si>
  <si>
    <t>B-true</t>
  </si>
  <si>
    <t>B-false</t>
  </si>
  <si>
    <t>C-true</t>
  </si>
  <si>
    <t>C-false</t>
  </si>
  <si>
    <t>stocks!$B$66</t>
  </si>
  <si>
    <t>CY13  Find PV given today’s periodic interest with intraperiod compounding</t>
  </si>
  <si>
    <t>LumpSum!$B$532</t>
  </si>
  <si>
    <t>CY7  Find PV given N, r, and intraperiod compounding on a saving's bond</t>
  </si>
  <si>
    <t>LumpSum!$B$547</t>
  </si>
  <si>
    <t>shortfall on rate of return (basis points)</t>
  </si>
  <si>
    <t>future value at date 2</t>
  </si>
  <si>
    <t>actual rate of return</t>
  </si>
  <si>
    <t>cum prin=</t>
  </si>
  <si>
    <t>partition the next payment</t>
  </si>
  <si>
    <t>npmts made such that x remains</t>
  </si>
  <si>
    <t>quadratic term</t>
  </si>
  <si>
    <t>plausible portfolio, t=1</t>
  </si>
  <si>
    <t>: interest savings over life of loans</t>
  </si>
  <si>
    <t>number of months in horizon</t>
  </si>
  <si>
    <t>accumulation at end of deposit stream</t>
  </si>
  <si>
    <t>total principal</t>
  </si>
  <si>
    <t>total interest</t>
  </si>
  <si>
    <t>: market cap 2526</t>
  </si>
  <si>
    <t>: shareprice 2526</t>
  </si>
  <si>
    <t>FA1!$B$841</t>
  </si>
  <si>
    <t>FA15am Net income</t>
  </si>
  <si>
    <t>FA1!$F$841</t>
  </si>
  <si>
    <t>FA15bm Stock price</t>
  </si>
  <si>
    <t>interest rate on deposits</t>
  </si>
  <si>
    <t>for put, not conditioned on time value</t>
  </si>
  <si>
    <t>for put, conditioned on time value</t>
  </si>
  <si>
    <t>: net cost</t>
  </si>
  <si>
    <t>wrong I/Y=</t>
  </si>
  <si>
    <t>r annual</t>
  </si>
  <si>
    <t>1+ r monthly</t>
  </si>
  <si>
    <t>covariance</t>
  </si>
  <si>
    <t>: option payoff</t>
  </si>
  <si>
    <t>wealth transfer to Target per share tendered</t>
  </si>
  <si>
    <t>best case</t>
  </si>
  <si>
    <t>worst case</t>
  </si>
  <si>
    <t>collar cost</t>
  </si>
  <si>
    <t>price, t=1</t>
  </si>
  <si>
    <t>vMask, OR(&gt;1,&lt;1) with variation</t>
  </si>
  <si>
    <t>:vMask10</t>
  </si>
  <si>
    <t>the average daily dollar volume in recent years is greater on the NYSE than on NASDAQ</t>
  </si>
  <si>
    <t>the average daily dollar volume in recent years is greater on the NASDAQ than on the NYSE</t>
  </si>
  <si>
    <t>the amount of funds raised through initial public offerings in recent years is roughly equal (although NYSE raised a little more)</t>
  </si>
  <si>
    <t>the amount of funds raised through initial public offerings in recent years is much greater on NASDAQ than on the NYSE</t>
  </si>
  <si>
    <t>AP13  Find allocation in OR(risk-free asset, market portfolio) providing target risk</t>
  </si>
  <si>
    <t>: target risk</t>
  </si>
  <si>
    <t>PortTheory!$B$661</t>
  </si>
  <si>
    <t>BS38  Describe the three tools of the Fed</t>
  </si>
  <si>
    <t>The official government “discount rate” is the interest rate charged by Federal Reserve District banks to member public and private banks.</t>
  </si>
  <si>
    <t>LS26m  Multipart inflating house price</t>
  </si>
  <si>
    <t>LumpSum!$B$961</t>
  </si>
  <si>
    <t>LS26am  Find nominal rate</t>
  </si>
  <si>
    <t>LumpSum!$F$961</t>
  </si>
  <si>
    <t>LS26bm  Find real rate</t>
  </si>
  <si>
    <t>: initial cost of straddle</t>
  </si>
  <si>
    <t>Options!$B$478</t>
  </si>
  <si>
    <t>DS26  Straddle description of outcomes</t>
  </si>
  <si>
    <t>: pv</t>
  </si>
  <si>
    <t>GeneralPV!$B$515</t>
  </si>
  <si>
    <t>PV5 Find PV given withdrawal history and rate (annual compounding)</t>
  </si>
  <si>
    <t>PV6 Find PV given deposit history, today's balance, and rate (quarterly compounding)</t>
  </si>
  <si>
    <t>GeneralPV!$B$528</t>
  </si>
  <si>
    <t>PV7 Find PV given withdrawal history, today's balance, and rate (quarterly compounding)</t>
  </si>
  <si>
    <t>GeneralPV!$B$541</t>
  </si>
  <si>
    <t>no-arbitrage spot price given futures price</t>
  </si>
  <si>
    <t>quantity</t>
  </si>
  <si>
    <t xml:space="preserve"> : breakeven N (years)</t>
  </si>
  <si>
    <t>Forecast variables with constant ratios</t>
  </si>
  <si>
    <t>koruna</t>
  </si>
  <si>
    <t>marrka</t>
  </si>
  <si>
    <t>ST5  Find dividend growth rate given div(0) and div(-N)</t>
  </si>
  <si>
    <t>stocks!$B$192</t>
  </si>
  <si>
    <t>no. shares in Raider that Target receives</t>
  </si>
  <si>
    <t>MB18  money rates</t>
  </si>
  <si>
    <t>FF1  Who gets the economic profits</t>
  </si>
  <si>
    <t>Conceptual!$B$253</t>
  </si>
  <si>
    <t>an investment that has relatively high sales revenues.</t>
  </si>
  <si>
    <t>CORRECT:</t>
  </si>
  <si>
    <t>WRONGS:</t>
  </si>
  <si>
    <t>If the initial loan principal doubles then the loan payment increases by more than 100%.</t>
  </si>
  <si>
    <t>BA1a   find new Stockholders Equity given 1 balance sheet and income ratios</t>
  </si>
  <si>
    <t>A disadvantage of the corporation is that it has relatively high organizational costs.</t>
  </si>
  <si>
    <t>An advantage of the corporation is that it has relatively low organizational costs.</t>
  </si>
  <si>
    <t>A disadvantage of the sole proprietorship is that they do not offer limited liability to the owners.</t>
  </si>
  <si>
    <t>An advantage of the sole proprietorship is that they offer limited liability to the owner.</t>
  </si>
  <si>
    <t>LS26cm  Find and (nominal, real) rate</t>
  </si>
  <si>
    <t xml:space="preserve">BE3  Find decline in sales to reach operating breakeven </t>
  </si>
  <si>
    <t>: %decline to reach breakeven</t>
  </si>
  <si>
    <t>PortTheory!$B$446</t>
  </si>
  <si>
    <t>BE4  Operating breakeven at target profit margin</t>
  </si>
  <si>
    <t>: target breakeven sales revenue</t>
  </si>
  <si>
    <t>BE4a  quantity</t>
  </si>
  <si>
    <t>BE4a  revenue</t>
  </si>
  <si>
    <t>PortTheory!$F$419</t>
  </si>
  <si>
    <t>BE5 Total breakeven</t>
  </si>
  <si>
    <t>PortTheory!$B$465</t>
  </si>
  <si>
    <t>FA1!$B$345</t>
  </si>
  <si>
    <t xml:space="preserve">BA1b  find new equity book value given 1 balance sheet and income ratios </t>
  </si>
  <si>
    <t>FA1!$F$345</t>
  </si>
  <si>
    <t>BA17bm Find eps next year</t>
  </si>
  <si>
    <t>FA1!$J$1021</t>
  </si>
  <si>
    <t>BA17cm Find AND(eps,book value) next year</t>
  </si>
  <si>
    <t>BA14 Find stock ROR given asset turnover, net margin, and constant p/e and growing income</t>
  </si>
  <si>
    <t>FA1!$J$571</t>
  </si>
  <si>
    <t>expected return for Y</t>
  </si>
  <si>
    <t>DS5b  Find net cost/revenue of using currency options on a hedge</t>
  </si>
  <si>
    <t>Options!$F$378</t>
  </si>
  <si>
    <t>DS5c  Find net benefit and strategy of currency options hedge</t>
  </si>
  <si>
    <t>Options!$J$378</t>
  </si>
  <si>
    <t>DS7a  Put/Call Straddle, find the rate of return given the ending shareprice</t>
  </si>
  <si>
    <t>Multiple setup (DS7)</t>
  </si>
  <si>
    <t>Options!$B$395</t>
  </si>
  <si>
    <t>DS7b  Put/Call Straddle, find the breakeven shareprices</t>
  </si>
  <si>
    <t>Options!$F$395</t>
  </si>
  <si>
    <t>DS7c  Put/Call Straddle, find the shareprices at which ror is x%</t>
  </si>
  <si>
    <t>Options!$J$395</t>
  </si>
  <si>
    <t>time value, transformation value, and arbitrage</t>
  </si>
  <si>
    <t>financial accounting, risk &amp; insurance, and real estate</t>
  </si>
  <si>
    <t>arbitrage, hedging, and speculating</t>
  </si>
  <si>
    <t>investments, corporate finance, and institutions</t>
  </si>
  <si>
    <t>time value, investments, and financial planning</t>
  </si>
  <si>
    <t>FA9  Find OR(net income, total assets) given sales and ratios</t>
  </si>
  <si>
    <t>FA1!$B$182</t>
  </si>
  <si>
    <r>
      <t>D</t>
    </r>
    <r>
      <rPr>
        <i/>
        <sz val="12"/>
        <rFont val="Arial"/>
        <family val="2"/>
      </rPr>
      <t xml:space="preserve"> Assets</t>
    </r>
  </si>
  <si>
    <r>
      <t>D</t>
    </r>
    <r>
      <rPr>
        <i/>
        <sz val="12"/>
        <rFont val="Arial"/>
        <family val="2"/>
      </rPr>
      <t xml:space="preserve"> net working capital</t>
    </r>
  </si>
  <si>
    <t>MR3cm  Find feasible set of portfolios given risks and correlation</t>
  </si>
  <si>
    <t>PortTheory!$J$183</t>
  </si>
  <si>
    <t>MR4am  Find diversification benefits from minimum risk portfolio</t>
  </si>
  <si>
    <t>Multiple setup (MR4)</t>
  </si>
  <si>
    <t>PortTheory!$B$200</t>
  </si>
  <si>
    <t>: normal spread</t>
  </si>
  <si>
    <t>: dividend yield (1)</t>
  </si>
  <si>
    <t>: price(1)</t>
  </si>
  <si>
    <t>: two year horizon ror</t>
  </si>
  <si>
    <t>stocks!$B$16</t>
  </si>
  <si>
    <r>
      <t>D</t>
    </r>
    <r>
      <rPr>
        <sz val="12"/>
        <rFont val="Arial"/>
        <family val="2"/>
      </rPr>
      <t>collection</t>
    </r>
  </si>
  <si>
    <r>
      <t>D</t>
    </r>
    <r>
      <rPr>
        <sz val="12"/>
        <rFont val="Arial"/>
        <family val="2"/>
      </rPr>
      <t>financing</t>
    </r>
  </si>
  <si>
    <t>With the firm commitment contract an investment banker buys the company shares at a fixed price, resells the shares through the IPO, and bears maximum risk of adverse price movements</t>
  </si>
  <si>
    <t>the Certificate of Deposit rate is the amount that banks and credit unions pay to customer savings accounts</t>
  </si>
  <si>
    <t>Conceptual!$B$865</t>
  </si>
  <si>
    <t>MB3  Which of these money rates has the largest premium</t>
  </si>
  <si>
    <t>the interest rate probably is greater on taxable AAA corporate bonds than on tax-exempt AAA municipal bonds</t>
  </si>
  <si>
    <t>FA1!$B$227</t>
  </si>
  <si>
    <r>
      <t>%</t>
    </r>
    <r>
      <rPr>
        <sz val="12"/>
        <rFont val="Symbol"/>
        <family val="1"/>
        <charset val="2"/>
      </rPr>
      <t>D</t>
    </r>
    <r>
      <rPr>
        <sz val="12"/>
        <rFont val="Arial"/>
        <family val="2"/>
      </rPr>
      <t xml:space="preserve"> Target wealth</t>
    </r>
  </si>
  <si>
    <t>Multiple setup (FA3m)</t>
  </si>
  <si>
    <t>B-T:</t>
  </si>
  <si>
    <r>
      <t xml:space="preserve">The </t>
    </r>
    <r>
      <rPr>
        <i/>
        <sz val="12"/>
        <rFont val="Arial"/>
        <family val="2"/>
      </rPr>
      <t>National Stock Exchange (NSX)</t>
    </r>
    <r>
      <rPr>
        <sz val="12"/>
        <rFont val="Arial"/>
        <family val="2"/>
      </rPr>
      <t xml:space="preserve"> in Chicago is the largest stock market in the U.S.A.  NSX was founded in 1885 as the American Stock Exchange.</t>
    </r>
  </si>
  <si>
    <r>
      <t xml:space="preserve">The </t>
    </r>
    <r>
      <rPr>
        <i/>
        <sz val="12"/>
        <rFont val="Arial"/>
        <family val="2"/>
      </rPr>
      <t>Pacific Stock Exchange</t>
    </r>
    <r>
      <rPr>
        <sz val="12"/>
        <rFont val="Arial"/>
        <family val="2"/>
      </rPr>
      <t xml:space="preserve"> </t>
    </r>
    <r>
      <rPr>
        <i/>
        <sz val="12"/>
        <rFont val="Arial"/>
        <family val="2"/>
      </rPr>
      <t>(PCX)</t>
    </r>
    <r>
      <rPr>
        <sz val="12"/>
        <rFont val="Arial"/>
        <family val="2"/>
      </rPr>
      <t xml:space="preserve"> in San Francisco was founded in 1862 and in 1999 </t>
    </r>
    <r>
      <rPr>
        <i/>
        <sz val="12"/>
        <rFont val="Arial"/>
        <family val="2"/>
      </rPr>
      <t xml:space="preserve">PCX </t>
    </r>
    <r>
      <rPr>
        <sz val="12"/>
        <rFont val="Arial"/>
        <family val="2"/>
      </rPr>
      <t xml:space="preserve">became the first U.S. stock exchange to demutualize, meaning switch from a member-owned organization and instead operate as a for-profit publicly traded company.  In 2002 </t>
    </r>
    <r>
      <rPr>
        <i/>
        <sz val="12"/>
        <rFont val="Arial"/>
        <family val="2"/>
      </rPr>
      <t>PCX</t>
    </r>
    <r>
      <rPr>
        <sz val="12"/>
        <rFont val="Arial"/>
        <family val="2"/>
      </rPr>
      <t xml:space="preserve"> closed its equities floors and migrated stock trading to the Archipelago Exchange (</t>
    </r>
    <r>
      <rPr>
        <i/>
        <sz val="12"/>
        <rFont val="Arial"/>
        <family val="2"/>
      </rPr>
      <t>ArcaEx).</t>
    </r>
  </si>
  <si>
    <r>
      <t xml:space="preserve">The </t>
    </r>
    <r>
      <rPr>
        <i/>
        <sz val="12"/>
        <rFont val="Arial"/>
        <family val="2"/>
      </rPr>
      <t>Pacific Stock Exchange</t>
    </r>
    <r>
      <rPr>
        <sz val="12"/>
        <rFont val="Arial"/>
        <family val="2"/>
      </rPr>
      <t xml:space="preserve"> </t>
    </r>
    <r>
      <rPr>
        <i/>
        <sz val="12"/>
        <rFont val="Arial"/>
        <family val="2"/>
      </rPr>
      <t>(PCX)</t>
    </r>
    <r>
      <rPr>
        <sz val="12"/>
        <rFont val="Arial"/>
        <family val="2"/>
      </rPr>
      <t xml:space="preserve"> in San Francisco was founded in 1862 and in 1999 </t>
    </r>
    <r>
      <rPr>
        <i/>
        <sz val="12"/>
        <rFont val="Arial"/>
        <family val="2"/>
      </rPr>
      <t xml:space="preserve">PCX </t>
    </r>
    <r>
      <rPr>
        <sz val="12"/>
        <rFont val="Arial"/>
        <family val="2"/>
      </rPr>
      <t>became the first U.S. stock exchange to switch from a for-profit publicly traded company and instead now operates as a member-owned organization.</t>
    </r>
  </si>
  <si>
    <r>
      <t xml:space="preserve">The </t>
    </r>
    <r>
      <rPr>
        <i/>
        <sz val="12"/>
        <rFont val="Arial"/>
        <family val="2"/>
      </rPr>
      <t>Pink sheets</t>
    </r>
    <r>
      <rPr>
        <sz val="12"/>
        <rFont val="Arial"/>
        <family val="2"/>
      </rPr>
      <t xml:space="preserve"> were founded in 1904 in New York and today quote stock prices for companies that do not register with the SEC and are not required to file financial statements with the government.</t>
    </r>
  </si>
  <si>
    <r>
      <t xml:space="preserve">The </t>
    </r>
    <r>
      <rPr>
        <i/>
        <sz val="12"/>
        <rFont val="Arial"/>
        <family val="2"/>
      </rPr>
      <t>Pink sheets</t>
    </r>
    <r>
      <rPr>
        <sz val="12"/>
        <rFont val="Arial"/>
        <family val="2"/>
      </rPr>
      <t xml:space="preserve"> were founded in 1904 in New York and today quote stock prices for several thousand companies with market caps that generally exceed $1 billion.</t>
    </r>
  </si>
  <si>
    <t>one-pair:</t>
  </si>
  <si>
    <t>CR3a  Triangle arbitrage, find equilibrium rate</t>
  </si>
  <si>
    <t>Multiple setup (CR3)</t>
  </si>
  <si>
    <t>Intntl!$B$161</t>
  </si>
  <si>
    <t>(CR3b)</t>
  </si>
  <si>
    <t>CR3b  Triangle arbitrage, find overvalued currency</t>
  </si>
  <si>
    <t>Intntl!$F$161</t>
  </si>
  <si>
    <t>CR3c  Triangle arbitrage, find %change wealth due to arbitrage</t>
  </si>
  <si>
    <t>Intntl!$K$161</t>
  </si>
  <si>
    <t>CR7 triangle arbitrage today and next year</t>
  </si>
  <si>
    <t>PR2  BigMac purchasing power parity, find next year's rate</t>
  </si>
  <si>
    <t>Multiple setup (not yet created with wizard)</t>
  </si>
  <si>
    <t>Labor provides services to business and receive wages in a competitive and fluid economy that are much less than the value of labor's contribution.</t>
  </si>
  <si>
    <t>rupee</t>
  </si>
  <si>
    <t>time value</t>
  </si>
  <si>
    <t xml:space="preserve"> : future payoff</t>
  </si>
  <si>
    <t>price</t>
  </si>
  <si>
    <t>PV11 Find actual ROR for annuity given CF, FV, target r, and counteroffer (CF&lt;0)</t>
  </si>
  <si>
    <t>TR36: Describe NPV</t>
  </si>
  <si>
    <t>The IRR for a project is the financing rate at which the project’s NPV is zero.</t>
  </si>
  <si>
    <t>The NPV for a project is the financing rate at which the project’s IRR is zero.</t>
  </si>
  <si>
    <t>The NPV for a project is the amount of capitalized economic profit that a project creates.</t>
  </si>
  <si>
    <t>The NPV for a project is the amount of wealth that the project creates.</t>
  </si>
  <si>
    <t>Conceptual!$B$1632</t>
  </si>
  <si>
    <t>CY6e  Find OR(total interest, total interest-on-interest, total interest-on-interest) with  intraperiod compounding</t>
  </si>
  <si>
    <t>LumpSum!$F$486</t>
  </si>
  <si>
    <t>The financial market may be efficient with respect to one information event but not others.</t>
  </si>
  <si>
    <t>securities mostly trade by open outcry (yelling &amp; screaming)</t>
  </si>
  <si>
    <t>B-F:</t>
  </si>
  <si>
    <t>new retained earnings</t>
  </si>
  <si>
    <t>sustainable growth rate</t>
  </si>
  <si>
    <t>FA1!$F$1021</t>
  </si>
  <si>
    <t>BA17am Find book value next year</t>
  </si>
  <si>
    <t>FT4am  Find international bid in foreign currency required to get target profit margin</t>
  </si>
  <si>
    <t>Multiple setup (FT4)</t>
  </si>
  <si>
    <t>Options!$B$214</t>
  </si>
  <si>
    <t>FT4bm  Find actual profit on international bid given a change in exchange rates</t>
  </si>
  <si>
    <t>Options!$F$214</t>
  </si>
  <si>
    <r>
      <t xml:space="preserve">FT4cm  Find actual profit </t>
    </r>
    <r>
      <rPr>
        <b/>
        <i/>
        <u/>
        <sz val="12"/>
        <rFont val="Arial"/>
        <family val="2"/>
      </rPr>
      <t>margin</t>
    </r>
    <r>
      <rPr>
        <b/>
        <i/>
        <sz val="12"/>
        <rFont val="Arial"/>
        <family val="2"/>
      </rPr>
      <t xml:space="preserve"> on international bid given a change in exchange rates</t>
    </r>
  </si>
  <si>
    <t>Options!$J$214</t>
  </si>
  <si>
    <t>FT5a  Find profit on speculative currency futures given a change in exchange rates</t>
  </si>
  <si>
    <t>Multiple setup (FT5)</t>
  </si>
  <si>
    <t>Options!$B$231</t>
  </si>
  <si>
    <t>: net income</t>
  </si>
  <si>
    <t>FA1!$B$777</t>
  </si>
  <si>
    <t>FA13  Find total assets given eps and profit margin</t>
  </si>
  <si>
    <t>: net profit margin after</t>
  </si>
  <si>
    <t>PortTheory!$B$503</t>
  </si>
  <si>
    <t>BE7a  Find target sales</t>
  </si>
  <si>
    <t>PortTheory!$F$503</t>
  </si>
  <si>
    <t>BE7b  Find target sales and profit margin</t>
  </si>
  <si>
    <t>FF23  payback period characteristics</t>
  </si>
  <si>
    <t>MB19  yield curve</t>
  </si>
  <si>
    <t>TR18  T/F, dividend growth g&gt;r</t>
  </si>
  <si>
    <t>TR19  properties of stddev</t>
  </si>
  <si>
    <t>BS32  traditional asset allocation classes</t>
  </si>
  <si>
    <t>TR20  high risk / return</t>
  </si>
  <si>
    <t xml:space="preserve">FF24  four fathers of finance </t>
  </si>
  <si>
    <t>MB20  speculating v. hedging</t>
  </si>
  <si>
    <t>BS33  currency exchange rate systems</t>
  </si>
  <si>
    <t>Conceptual!$B$711</t>
  </si>
  <si>
    <r>
      <t>D</t>
    </r>
    <r>
      <rPr>
        <sz val="12"/>
        <rFont val="Arial"/>
        <family val="2"/>
      </rPr>
      <t>TA given constant PP&amp;E</t>
    </r>
  </si>
  <si>
    <r>
      <t>D</t>
    </r>
    <r>
      <rPr>
        <sz val="12"/>
        <rFont val="Arial"/>
        <family val="2"/>
      </rPr>
      <t>TL + SE</t>
    </r>
  </si>
  <si>
    <t>The actual ex post ROR equals the promised yield-to-maturity when you sell a bond before it matures and the YTM at time of sale is the same as when it was purchased.</t>
  </si>
  <si>
    <t>Conceptual!$B$1696</t>
  </si>
  <si>
    <t>TR39 Relation between YTM and actual ex post ROR</t>
  </si>
  <si>
    <t>studies show individual security selection explains more than asset allocation about long run performance</t>
  </si>
  <si>
    <t>GeneralPV!$F$298</t>
  </si>
  <si>
    <t>AM4cm  Find loan’s AND(book value, market value) given new rate to sell loan</t>
  </si>
  <si>
    <t>GeneralPV!$J$298</t>
  </si>
  <si>
    <t>p(-N)</t>
  </si>
  <si>
    <t>dividend (-1)</t>
  </si>
  <si>
    <t>dividend(-t)</t>
  </si>
  <si>
    <t>t</t>
  </si>
  <si>
    <t>riskfree rate</t>
  </si>
  <si>
    <t>number of periods</t>
  </si>
  <si>
    <t>worst-case outcome</t>
  </si>
  <si>
    <t>BA11a: numerically</t>
  </si>
  <si>
    <t>correct :</t>
  </si>
  <si>
    <t>wrong :</t>
  </si>
  <si>
    <t>Conceptual!$B$1062</t>
  </si>
  <si>
    <t>MB17  Futures vs. options</t>
  </si>
  <si>
    <t>Conceptual!$B$1071</t>
  </si>
  <si>
    <t>LS12  Find N on an investment given today's PV and tomorrow's FV and r</t>
  </si>
  <si>
    <t>LumpSum!$B$300</t>
  </si>
  <si>
    <t>BA15 Find dividends and new issues consistent with balance sheet</t>
  </si>
  <si>
    <t>Conceptual!$B$1349</t>
  </si>
  <si>
    <t>TR24 T/F Land rich cash poor and liquidity ratio</t>
  </si>
  <si>
    <t>A white-knight strategy occurs when a potential takeover target gives existing management sufficient new stock so that their ownership position as company leaders is unshakeable.</t>
  </si>
  <si>
    <t>Conceptual!$B$134</t>
  </si>
  <si>
    <t>BD17  Find coupon rate</t>
  </si>
  <si>
    <t>: price(N-1)</t>
  </si>
  <si>
    <t>: current yield(N-1)</t>
  </si>
  <si>
    <t>: cap_gains yield (N-1)</t>
  </si>
  <si>
    <t>BondApps!$B$280</t>
  </si>
  <si>
    <t>: cap_gains yield (0)</t>
  </si>
  <si>
    <t>BondApps!$F$280</t>
  </si>
  <si>
    <t>price-to-earnings  2525</t>
  </si>
  <si>
    <t>: sales growth</t>
  </si>
  <si>
    <t>: netincome 2525</t>
  </si>
  <si>
    <t>netincome2526 : turnover</t>
  </si>
  <si>
    <t>BD1  Consol bond, what is its price</t>
  </si>
  <si>
    <t>BondApps!$B$31</t>
  </si>
  <si>
    <t>ER4  Find expected ROR given probabilities and component payoffs</t>
  </si>
  <si>
    <t>wrongs</t>
  </si>
  <si>
    <t>: dividend growth rate</t>
  </si>
  <si>
    <t>: P/E</t>
  </si>
  <si>
    <t>year 3 CF</t>
  </si>
  <si>
    <t>specialists are exchange members to whom the NYSE assigns responsibility for maintaining a fair and orderly market</t>
  </si>
  <si>
    <t>specialists are government employees whose responsibility is maintaining a fair and orderly market</t>
  </si>
  <si>
    <t>There is increased recognition among households and institutions that valuable diversification benefits accrue from owning many securities and hence portfolio composition and requisite trading is becoming more complex.</t>
  </si>
  <si>
    <t>Households with increased access to computerized trading have been able to easily execute large trades for larger numbers of stocks.</t>
  </si>
  <si>
    <t>During recent decades the management of equity portfolios has become increasingly concentrated into financial institutions, such as pension or mutual funds, and trading behavior has become more sophisticated.</t>
  </si>
  <si>
    <t>During recent decades the management of equity portfolios has shifted away from financial institutions and into individual households that manage their own pension or mutual funds.</t>
  </si>
  <si>
    <t>CY17  Find N given lifetime interest, long ago's PV, and r</t>
  </si>
  <si>
    <t>LumpSum!$B$590</t>
  </si>
  <si>
    <t>CY9  Find N given today's PV, total lifetime interest, and r</t>
  </si>
  <si>
    <t>LumpSum!$B$605</t>
  </si>
  <si>
    <t>BS14  NYSE-NASDAQ comparison</t>
  </si>
  <si>
    <t>trades execute on the NYSE by open outcry whereas on NASDAQ they execute electronically</t>
  </si>
  <si>
    <t>value that Target tenders</t>
  </si>
  <si>
    <t>value that Target receives</t>
  </si>
  <si>
    <t>book value =</t>
  </si>
  <si>
    <t>Conceptual!$B$159</t>
  </si>
  <si>
    <t>dividends, 2527</t>
  </si>
  <si>
    <t>New Retained Earnings, 2527</t>
  </si>
  <si>
    <t>Stockholders Equity, 12/31/2527</t>
  </si>
  <si>
    <t>equity book value, 12/31/2527</t>
  </si>
  <si>
    <t>Sales, 2527</t>
  </si>
  <si>
    <t>shareprice, 2526</t>
  </si>
  <si>
    <t>the annual average rate of return over the past 10 years has been higher for corporate bonds than for large company stocks</t>
  </si>
  <si>
    <t>Conceptual!$B$1483</t>
  </si>
  <si>
    <t>FF29 Corporate pyramid characteristics</t>
  </si>
  <si>
    <t>BondApps!$J$199</t>
  </si>
  <si>
    <t>BD12c  OR(current yield, capital gains yield)</t>
  </si>
  <si>
    <t>BD12a  and(current yield, capital gains yield)</t>
  </si>
  <si>
    <t>BD12b  three correct pairs</t>
  </si>
  <si>
    <t>must pick a winning small capitalization stock that quadruples in price</t>
  </si>
  <si>
    <t>BondApps!$B$18</t>
  </si>
  <si>
    <r>
      <t xml:space="preserve">: </t>
    </r>
    <r>
      <rPr>
        <sz val="12"/>
        <rFont val="Symbol"/>
        <family val="1"/>
        <charset val="2"/>
      </rPr>
      <t>D</t>
    </r>
    <r>
      <rPr>
        <sz val="12"/>
        <rFont val="Arial"/>
        <family val="2"/>
      </rPr>
      <t>ytm</t>
    </r>
  </si>
  <si>
    <r>
      <t xml:space="preserve">: </t>
    </r>
    <r>
      <rPr>
        <sz val="12"/>
        <rFont val="Symbol"/>
        <family val="1"/>
        <charset val="2"/>
      </rPr>
      <t>D</t>
    </r>
    <r>
      <rPr>
        <sz val="12"/>
        <rFont val="Arial"/>
        <family val="2"/>
      </rPr>
      <t>ytm BP</t>
    </r>
  </si>
  <si>
    <t>: new ytm</t>
  </si>
  <si>
    <t>: new price</t>
  </si>
  <si>
    <t>receivables</t>
  </si>
  <si>
    <t>long term debt</t>
  </si>
  <si>
    <t>total assets</t>
  </si>
  <si>
    <t>krone</t>
  </si>
  <si>
    <t>total int=</t>
  </si>
  <si>
    <t>price, t=0</t>
  </si>
  <si>
    <t>: IRR</t>
  </si>
  <si>
    <t>discount from A</t>
  </si>
  <si>
    <t>stocks!$B$105</t>
  </si>
  <si>
    <t>TK3  Find price that generates a buy according to a (2,20)-day moving average rule</t>
  </si>
  <si>
    <t>stocks!$B$119</t>
  </si>
  <si>
    <t>TK4  Find price that generates a buy according to a (2,N)-day moving average rule</t>
  </si>
  <si>
    <t>stocks!$B$134</t>
  </si>
  <si>
    <t xml:space="preserve">ST7 Preferred stock </t>
  </si>
  <si>
    <t>ST11 Simple ROR</t>
  </si>
  <si>
    <t>ST12  Find rate of return given cash flows</t>
  </si>
  <si>
    <t>stocks!$B$149</t>
  </si>
  <si>
    <t>ST9 Dividend growth problem</t>
  </si>
  <si>
    <t>ST8 Dividend growth problem</t>
  </si>
  <si>
    <t>ST3a/ST3b/ST3c  Find ROR given dividend(0) in simplest setting for growth model</t>
  </si>
  <si>
    <t>stocks!$B$163</t>
  </si>
  <si>
    <t>the number of listed companies is greater on NASDAQ than on the NYSE</t>
  </si>
  <si>
    <t>the number of listed companies is greater on the NYSE than on NASDAQ</t>
  </si>
  <si>
    <t>Conceptual!$B$644</t>
  </si>
  <si>
    <t>Conceptual!$B$210</t>
  </si>
  <si>
    <t>target rate of return</t>
  </si>
  <si>
    <t>: variable</t>
  </si>
  <si>
    <t>the total market capitalization of listed companies is less on the NYSE than on NASDAQ</t>
  </si>
  <si>
    <t>: sales &amp; asset turnover</t>
  </si>
  <si>
    <t>: operating margin</t>
  </si>
  <si>
    <t>: price-to-book equity 2525</t>
  </si>
  <si>
    <t>: interest rate</t>
  </si>
  <si>
    <t>: net income 2526</t>
  </si>
  <si>
    <t>: dividends 2526</t>
  </si>
  <si>
    <t>: New retained earnings, 2526</t>
  </si>
  <si>
    <t>: market cap 2525</t>
  </si>
  <si>
    <t>: pe 2526</t>
  </si>
  <si>
    <t>: #shares initially</t>
  </si>
  <si>
    <t>: p-begin</t>
  </si>
  <si>
    <t>: new shares to finance cap_expen</t>
  </si>
  <si>
    <t>: total new shares</t>
  </si>
  <si>
    <t>: div per share</t>
  </si>
  <si>
    <t>: p-end</t>
  </si>
  <si>
    <t>LS9  Find today's PV that will be a future liability (FV) given  r, and N with monthly rate and compounding</t>
  </si>
  <si>
    <t>LumpSum!$B$230</t>
  </si>
  <si>
    <t>PR1b  Relative purchasing power parity, find next year's rate and inference</t>
  </si>
  <si>
    <t>Intntl!$F$206</t>
  </si>
  <si>
    <t>PR3a  Interest rate parity, find no-arb forward rate</t>
  </si>
  <si>
    <t>Multiple setup (PR3)</t>
  </si>
  <si>
    <t>irr for original bank</t>
  </si>
  <si>
    <t>an asset-backed bond may give the bond-holder cash flows paid by the U.S. Treasury on loans for infrastructure investments</t>
  </si>
  <si>
    <t>Options!$J$289</t>
  </si>
  <si>
    <t>FF11  Effect of stock repurchase on balance sheet</t>
  </si>
  <si>
    <t>spontaneous financing</t>
  </si>
  <si>
    <t>plug</t>
  </si>
  <si>
    <t>EFN</t>
  </si>
  <si>
    <t>cross-over rate</t>
  </si>
  <si>
    <t>irr low</t>
  </si>
  <si>
    <t>irr high</t>
  </si>
  <si>
    <t>name low</t>
  </si>
  <si>
    <t>name high</t>
  </si>
  <si>
    <t>at this rate</t>
  </si>
  <si>
    <t>Burton Malkiel</t>
  </si>
  <si>
    <t>Benjamin Graham</t>
  </si>
  <si>
    <t>Harry Markowitz</t>
  </si>
  <si>
    <t>FV10am find FV</t>
  </si>
  <si>
    <t>GeneralPV!$F$472</t>
  </si>
  <si>
    <t>FV10bm find interest</t>
  </si>
  <si>
    <t>: option strike in USD</t>
  </si>
  <si>
    <t>: spot price expected at delivery</t>
  </si>
  <si>
    <t>: quantity of foreign currency received</t>
  </si>
  <si>
    <t>: revenue in USD at expected spot</t>
  </si>
  <si>
    <t>: revenue in USD at futures price</t>
  </si>
  <si>
    <t>result of hedging with futures</t>
  </si>
  <si>
    <t>result of hedging with options</t>
  </si>
  <si>
    <t>: option price in cents</t>
  </si>
  <si>
    <t>: payoff on put</t>
  </si>
  <si>
    <t>: net revenues using puts</t>
  </si>
  <si>
    <t>comparison of spot now and later</t>
  </si>
  <si>
    <t>FV18  Find effect of ROR on CF given PV, FV, and N</t>
  </si>
  <si>
    <t>: months</t>
  </si>
  <si>
    <t>: rate2</t>
  </si>
  <si>
    <t>: pmt1</t>
  </si>
  <si>
    <t>: pmt2</t>
  </si>
  <si>
    <t>GeneralPV!$B$708</t>
  </si>
  <si>
    <t>TQ8  Find FV of annuity given a beginning balance</t>
  </si>
  <si>
    <t>TQ11  DJIA average price move required to reach a new milepost</t>
  </si>
  <si>
    <t>TQ12  Find intrinsic value with zero dividends until time N, and flat thereafter</t>
  </si>
  <si>
    <t>TQ15  Find diversification benefits given equal probabilities and forced weights</t>
  </si>
  <si>
    <t>TQ18  Find effect on revenue of currency change</t>
  </si>
  <si>
    <t>debt-to-total assets ratio</t>
  </si>
  <si>
    <t>pretax cost</t>
  </si>
  <si>
    <t>years</t>
  </si>
  <si>
    <t>pvifa</t>
  </si>
  <si>
    <t>Mask 1 :</t>
  </si>
  <si>
    <t>Mask 2 :</t>
  </si>
  <si>
    <t>Mask 3 :</t>
  </si>
  <si>
    <t>Mask 4 :</t>
  </si>
  <si>
    <t>Answer :</t>
  </si>
  <si>
    <t>If the price to book ratio is bigger than one, the return on equity is smaller than the shareholder rate of return.</t>
  </si>
  <si>
    <t>If the price to book ratio is smaller than one, the return on equity is bigger than the shareholder rate of return.</t>
  </si>
  <si>
    <t>If the price to book ratio is smaller than one, the shareholder rate of return is smaller than the return on equity.</t>
  </si>
  <si>
    <t>If the shareholder rate of return is smaller than the return on equity then the price to book ratio is smaller than one.</t>
  </si>
  <si>
    <t>Intntl!$B$227</t>
  </si>
  <si>
    <t>PR3b  Interest rate parity, find no-arb forward rate</t>
  </si>
  <si>
    <t>Intntl!$F$227</t>
  </si>
  <si>
    <t>wrong choices</t>
  </si>
  <si>
    <t>call payoff</t>
  </si>
  <si>
    <t>BA8m Find next year's shareprice and ror given ratios and balance sheet</t>
  </si>
  <si>
    <t>Multiple setup (BA1)</t>
  </si>
  <si>
    <t>the long-run average dividend yield is smaller than the capital gains yield</t>
  </si>
  <si>
    <t>the long-run average dividend yield is bigger than the capital gains yield</t>
  </si>
  <si>
    <t>usually the dividend component is a realized cash flow whereas the capital gains yield is an accrued cash flow</t>
  </si>
  <si>
    <t xml:space="preserve"> : current 1-year price</t>
  </si>
  <si>
    <t xml:space="preserve"> : current 2-year price</t>
  </si>
  <si>
    <t xml:space="preserve"> : current 3-year price</t>
  </si>
  <si>
    <t>accumulation at end of second stream</t>
  </si>
  <si>
    <t>corrects:</t>
  </si>
  <si>
    <t>GeneralPV!$B$116</t>
  </si>
  <si>
    <r>
      <t>%</t>
    </r>
    <r>
      <rPr>
        <sz val="12"/>
        <rFont val="Symbol"/>
        <family val="1"/>
        <charset val="2"/>
      </rPr>
      <t>D</t>
    </r>
    <r>
      <rPr>
        <sz val="12"/>
        <rFont val="Arial"/>
        <family val="2"/>
      </rPr>
      <t>princ</t>
    </r>
  </si>
  <si>
    <t>: payment # about to be sent</t>
  </si>
  <si>
    <t>: monthly savings</t>
  </si>
  <si>
    <t>: number of months to realize savings</t>
  </si>
  <si>
    <t>: number of coupons</t>
  </si>
  <si>
    <t>: ytm</t>
  </si>
  <si>
    <t>Multiple setup (FT2)</t>
  </si>
  <si>
    <t>Options!$B$181</t>
  </si>
  <si>
    <t>FT2b  Find arbitrage profit and strategy in futures mispricing</t>
  </si>
  <si>
    <t>mask60</t>
  </si>
  <si>
    <t>mask70</t>
  </si>
  <si>
    <t>BA11  Contrast ROE and ROR</t>
  </si>
  <si>
    <t>CapBud!$B$210</t>
  </si>
  <si>
    <t>CB12 find irr on mixed cash flow</t>
  </si>
  <si>
    <t>: discount</t>
  </si>
  <si>
    <t>: r</t>
  </si>
  <si>
    <t>: days discount</t>
  </si>
  <si>
    <t>: PV(discount)</t>
  </si>
  <si>
    <t>: full price</t>
  </si>
  <si>
    <t>: breakeven net period</t>
  </si>
  <si>
    <t>: actual net period</t>
  </si>
  <si>
    <t>: PV(full price)</t>
  </si>
  <si>
    <t>Terms for supplier X</t>
  </si>
  <si>
    <t>Terms for supplier Z</t>
  </si>
  <si>
    <t>A-true :</t>
  </si>
  <si>
    <t>B-true :</t>
  </si>
  <si>
    <t>C-true :</t>
  </si>
  <si>
    <t>LumpSum!$B$916</t>
  </si>
  <si>
    <t>CY21  Lowest PV of cost for supplier's discount</t>
  </si>
  <si>
    <t>A disadvantage of the corporation is that they are subject to relatively complex government regulations.</t>
  </si>
  <si>
    <t>An advantage of the corporation is that they are subject to relatively fewer government regulations.</t>
  </si>
  <si>
    <t>X</t>
  </si>
  <si>
    <t>Y</t>
  </si>
  <si>
    <t>Z</t>
  </si>
  <si>
    <t>Risk1</t>
  </si>
  <si>
    <t>false:</t>
  </si>
  <si>
    <t>BS25  Discount broker attributes</t>
  </si>
  <si>
    <t>SV1a  Find intrinsic value given sustainable growth and retained earnings</t>
  </si>
  <si>
    <t>Multiple setup (SV1)</t>
  </si>
  <si>
    <t>: interest remaining over old loan's life</t>
  </si>
  <si>
    <t>semi-strong</t>
  </si>
  <si>
    <t>intrinsic value</t>
  </si>
  <si>
    <t>LumpSum!$B$134</t>
  </si>
  <si>
    <t>TR38 Special cases of relation between ROR and ROE</t>
  </si>
  <si>
    <t>Raider management may believe that Target assets probably are being used with maximum efficiency possible.</t>
  </si>
  <si>
    <t>TRUE:</t>
  </si>
  <si>
    <t>FALSE:</t>
  </si>
  <si>
    <t>Conceptual!$B$1802</t>
  </si>
  <si>
    <t>TR9 (T/F): Rho measures proportion of total risk that merits compensation</t>
  </si>
  <si>
    <t>pv :</t>
  </si>
  <si>
    <t>abs(cf0)</t>
  </si>
  <si>
    <t>CapBud!$F$357</t>
  </si>
  <si>
    <t>CB22bm  Match CF</t>
  </si>
  <si>
    <t>FA2  Find whether change is a source or a use</t>
  </si>
  <si>
    <t>FA1!$B$214</t>
  </si>
  <si>
    <t>FA8  Find p/e given net income, shareprice, and #shares</t>
  </si>
  <si>
    <t xml:space="preserve"> : annual ROR for buying a 2 year bond for 1-year</t>
  </si>
  <si>
    <t>rate of return to venture capital</t>
  </si>
  <si>
    <t>zloty</t>
  </si>
  <si>
    <t>Poland</t>
  </si>
  <si>
    <t>China</t>
  </si>
  <si>
    <t>Slovakia</t>
  </si>
  <si>
    <t>Finland</t>
  </si>
  <si>
    <t>: domestic currency</t>
  </si>
  <si>
    <t>$0penalty breakeven</t>
  </si>
  <si>
    <t>LumpSum!$B$669</t>
  </si>
  <si>
    <t>DS22 put portfolio insurance</t>
  </si>
  <si>
    <t>DS5a  Find ROR on a speculative currency options</t>
  </si>
  <si>
    <t>Multiple setup (DS5)</t>
  </si>
  <si>
    <t>Options!$B$378</t>
  </si>
  <si>
    <t>Add either one, since for both the expected returns exceed required returns.</t>
  </si>
  <si>
    <t>Add only stock A since its expected return is the only one to exceed its required return.</t>
  </si>
  <si>
    <t>BS8  What is a mutual fund’s balance sheet like</t>
  </si>
  <si>
    <t>Conceptual!$B$702</t>
  </si>
  <si>
    <t>BS16  What is a 401k plan</t>
  </si>
  <si>
    <t>MC1b  Find FV of 3 consecutive but different annual deposits a year after last deposit</t>
  </si>
  <si>
    <t>LumpSum!$F$711</t>
  </si>
  <si>
    <t xml:space="preserve">company pricing relative to the industry </t>
  </si>
  <si>
    <t>new price, ytm original</t>
  </si>
  <si>
    <t>given penalty=</t>
  </si>
  <si>
    <t>IPO Stocks</t>
  </si>
  <si>
    <t>Large Cap Stocks</t>
  </si>
  <si>
    <t>Small Cap Stocks</t>
  </si>
  <si>
    <t>Value Stocks</t>
  </si>
  <si>
    <t>: principal with amortized fees</t>
  </si>
  <si>
    <t>: monthly deposits</t>
  </si>
  <si>
    <t>: fv(annuity)</t>
  </si>
  <si>
    <t>: fv(beginning balance)</t>
  </si>
  <si>
    <t>: total fv</t>
  </si>
  <si>
    <t>TeacherQuestions!$B$38</t>
  </si>
  <si>
    <t>the standard deviation is equally sensitive to upside as well as downside extreme returns</t>
  </si>
  <si>
    <t>true-B</t>
  </si>
  <si>
    <t>false-B</t>
  </si>
  <si>
    <t>the standard deviation gives less weight to upside extreme returns because these are good outcomes, whereas downside extreme returns are bad outcomes and so receive more weight</t>
  </si>
  <si>
    <t>Conceptual!$B$974</t>
  </si>
  <si>
    <t>NPV@0%</t>
  </si>
  <si>
    <t>t=0</t>
  </si>
  <si>
    <t>basis point change</t>
  </si>
  <si>
    <t>: spot market cash flow</t>
  </si>
  <si>
    <t>: quantity</t>
  </si>
  <si>
    <t>risk</t>
  </si>
  <si>
    <t>total shares outstanding</t>
  </si>
  <si>
    <t>shares out previously</t>
  </si>
  <si>
    <t>total repurchase to venture capital</t>
  </si>
  <si>
    <t>total dividends to venture capital</t>
  </si>
  <si>
    <t>BS21  currency trading and exchange rates</t>
  </si>
  <si>
    <t>for put</t>
  </si>
  <si>
    <t>cost-goods</t>
  </si>
  <si>
    <t>LumpSum!$B$79</t>
  </si>
  <si>
    <t>ROR5  Find ending price given initial price and ROR</t>
  </si>
  <si>
    <t>LumpSum!$B$92</t>
  </si>
  <si>
    <t>ROR6  Find middle value given initial and final one and average ROR (QUADRATIC)</t>
  </si>
  <si>
    <t>LumpSum!$B$106</t>
  </si>
  <si>
    <t>Multiple setup (LS6)</t>
  </si>
  <si>
    <t>LS6a  Find today’s periodic interest of a deposit long ago given annual compounding</t>
  </si>
  <si>
    <t>LumpSum!$B$120</t>
  </si>
  <si>
    <t>an aggressive stock is one whose systematic risk exceeds its unsystematic risk</t>
  </si>
  <si>
    <t>an asset-backed bond may give the bond-holder cash flows paid by companies on loans financing pension expenditures</t>
  </si>
  <si>
    <t>FV4am  Compare FV from two different retirement strategies</t>
  </si>
  <si>
    <t>MR1am  Find weight for minimum risk portfolio given equally weighted outcomes</t>
  </si>
  <si>
    <t>Multiple setup (MR1)</t>
  </si>
  <si>
    <t>PortTheory!$B$150</t>
  </si>
  <si>
    <t>MR1bm  Find expected return for minimum risk portfolio given equally weighted outcomes</t>
  </si>
  <si>
    <t>PortTheory!$F$150</t>
  </si>
  <si>
    <t>MR1cm  Find stddev for minimum risk portfolio given equally weighted outcomes</t>
  </si>
  <si>
    <t>PortTheory!$J$150</t>
  </si>
  <si>
    <t>Options!$B$463</t>
  </si>
  <si>
    <t>DS25 Profit profile</t>
  </si>
  <si>
    <t>an asset-backed bond may give the bond-holder cash flows paid by non-profit organizations on loans for establishing endowments</t>
  </si>
  <si>
    <t>NYSE has second largest market cap in the USA</t>
  </si>
  <si>
    <t>Superdot is an electronic system handling small NYSE trades</t>
  </si>
  <si>
    <t>Superdot is an electronic system handling all NYSE trades</t>
  </si>
  <si>
    <t>the government requires that the NYSE trade any company requesting listing</t>
  </si>
  <si>
    <t>Conceptual!$B$624</t>
  </si>
  <si>
    <t>ST19  Find dividend growth rate given div(0) &amp; div(-N)</t>
  </si>
  <si>
    <t>Coupon rates probably were relatively high all year long</t>
  </si>
  <si>
    <t>FC1 :</t>
  </si>
  <si>
    <t>: new price of FC1</t>
  </si>
  <si>
    <t>: new price of FC2</t>
  </si>
  <si>
    <t>a rating change from C to B implies more institutions will be allowed to own the bond</t>
  </si>
  <si>
    <t>FT3a  Find net cost/revenues of a hedged transaction</t>
  </si>
  <si>
    <t>Multiple setup (FT3)</t>
  </si>
  <si>
    <t>Options!$B$265</t>
  </si>
  <si>
    <t>FT3b  Find net benefit and strategy from a hedged transaction</t>
  </si>
  <si>
    <t>Options!$F$265</t>
  </si>
  <si>
    <t>Forecast variables with 1-period model</t>
  </si>
  <si>
    <t>Forecast variables with 2-period model</t>
  </si>
  <si>
    <t>Sales growth rate for 2nd year</t>
  </si>
  <si>
    <t>to sell large blocks of stocks to potential raiding companies.</t>
  </si>
  <si>
    <t>TR13  What characteristic defines a security as OR(aggressive, conservative)</t>
  </si>
  <si>
    <t>Conceptual!$B$1188</t>
  </si>
  <si>
    <t>TR14  compare systematic and unsystematic risk</t>
  </si>
  <si>
    <t>Conceptual!$B$1203</t>
  </si>
  <si>
    <t>trades execute on the NASDAQ by open outcry whereas on the NYSE they execute electronically</t>
  </si>
  <si>
    <t>The Bretton Woods System was an agreement among the world’s nations that regulated fixed exchange rates and was abandoned in 1972</t>
  </si>
  <si>
    <t>the NYSE is a profit-making sharholder-owned self-regulatory organization</t>
  </si>
  <si>
    <t xml:space="preserve">Markets and institutions provide financial resources to business in exchange for interest and dividends. </t>
  </si>
  <si>
    <t>ER2bm  Find portfolio stddev given probabilities</t>
  </si>
  <si>
    <t>PortTheory!$F$105</t>
  </si>
  <si>
    <t>expenditure</t>
  </si>
  <si>
    <t xml:space="preserve"> : A's current price</t>
  </si>
  <si>
    <t>total ROR implied by dividend growth</t>
  </si>
  <si>
    <t>: pmt</t>
  </si>
  <si>
    <t>: payoff date is this many days into billing cycle</t>
  </si>
  <si>
    <t>a growth fund invests in companies expecting higher than average revenue and earnings growth</t>
  </si>
  <si>
    <t>a growth fund invests in companies with growing profit margins</t>
  </si>
  <si>
    <t>an equity income fund invests in stocks with high dividend yields</t>
  </si>
  <si>
    <t>LS25cm  Find deposit today to purchase in future an inflating house price</t>
  </si>
  <si>
    <t>LumpSum!$J$945</t>
  </si>
  <si>
    <t>: expected eps2 if actual is good news</t>
  </si>
  <si>
    <t>eps1</t>
  </si>
  <si>
    <t>eps2</t>
  </si>
  <si>
    <t>factor &lt;0 :</t>
  </si>
  <si>
    <t>factor &gt;0 :</t>
  </si>
  <si>
    <t>eps3</t>
  </si>
  <si>
    <t>: eps3</t>
  </si>
  <si>
    <t>AM3bm  Find payment and interest for first month</t>
  </si>
  <si>
    <t>GeneralPV!$F$371</t>
  </si>
  <si>
    <t>AM3cm  Find lifetime interest</t>
  </si>
  <si>
    <t>GeneralPV!$J$371</t>
  </si>
  <si>
    <t>AM3dm  Find interest-to-date</t>
  </si>
  <si>
    <t>GeneralPV!$N$371</t>
  </si>
  <si>
    <t>req'd bid in USD</t>
  </si>
  <si>
    <t>bhat</t>
  </si>
  <si>
    <t>payment in USD</t>
  </si>
  <si>
    <t>req'd bid in currency</t>
  </si>
  <si>
    <t>pretax profit</t>
  </si>
  <si>
    <t xml:space="preserve"> long ago governments set exchange rates but since acceptance of the Bretton Woods agreement most exchange rates float with market supply and demand forces </t>
  </si>
  <si>
    <t>the average daily dollar volume in recent years was greater on the NASDAQ than on the NYSE</t>
  </si>
  <si>
    <t>MC6a  Find actual CF given target CF, target ROR, and actual ROR for mixed stream</t>
  </si>
  <si>
    <t>Multiple setup (MC6)</t>
  </si>
  <si>
    <t>LumpSum!$B$787</t>
  </si>
  <si>
    <t>MC6b  Find actual CF given target CF, target ROR, and actual ROR for mixed stream</t>
  </si>
  <si>
    <t>LumpSum!$F$787</t>
  </si>
  <si>
    <t>MC7  Find ROR for an investment given its mixed annual stream</t>
  </si>
  <si>
    <t>LumpSum!$B$801</t>
  </si>
  <si>
    <t>fv if given deposit</t>
  </si>
  <si>
    <t>:sign1</t>
  </si>
  <si>
    <t>:sign2</t>
  </si>
  <si>
    <t>:sign3</t>
  </si>
  <si>
    <t>:sign4</t>
  </si>
  <si>
    <t>BD10  For a zero</t>
  </si>
  <si>
    <t>BondApps!$F$163</t>
  </si>
  <si>
    <t>BondApps!$J$163</t>
  </si>
  <si>
    <t>BD11  Coupon bond</t>
  </si>
  <si>
    <t>BondApps!$B$181</t>
  </si>
  <si>
    <t>BD10a Find price</t>
  </si>
  <si>
    <t>BD10b Find ytm</t>
  </si>
  <si>
    <t>BondApps!$F$181</t>
  </si>
  <si>
    <t>BD11a Find price</t>
  </si>
  <si>
    <t>BD11b Find ytm</t>
  </si>
  <si>
    <t>stocks!$F$273</t>
  </si>
  <si>
    <t>SV3a    Find intrinsic value given sustainable growth and DuPont</t>
  </si>
  <si>
    <t>CORRECT PAIRS:</t>
  </si>
  <si>
    <t>GeneralPV!$B$331</t>
  </si>
  <si>
    <t>The actual ex post ROR equals the promised yield-to-maturity when you own the bond until maturity and receive all expected cash flows.</t>
  </si>
  <si>
    <t>expected return for B</t>
  </si>
  <si>
    <t>risk free rate</t>
  </si>
  <si>
    <t>expected market return</t>
  </si>
  <si>
    <t>required return for A</t>
  </si>
  <si>
    <t>required return for B</t>
  </si>
  <si>
    <t>right:</t>
  </si>
  <si>
    <t>CY18  Find interest on interest with lump sum relation from college job</t>
  </si>
  <si>
    <t>CY19 Find accrued interest and savings of rate change</t>
  </si>
  <si>
    <t>CY14a  Find today’s interest with intraperiod compounding</t>
  </si>
  <si>
    <t>rate</t>
  </si>
  <si>
    <t>pmts made</t>
  </si>
  <si>
    <t>depreciation</t>
  </si>
  <si>
    <t>interest expense</t>
  </si>
  <si>
    <t>taxable income</t>
  </si>
  <si>
    <t>taxes due</t>
  </si>
  <si>
    <t>net income</t>
  </si>
  <si>
    <t>dividends</t>
  </si>
  <si>
    <t>breakeven shareprice given in the money put</t>
  </si>
  <si>
    <t>target ror</t>
  </si>
  <si>
    <t>ending wealth at target</t>
  </si>
  <si>
    <t>CY6b  Find total interest with intraperiod compounding</t>
  </si>
  <si>
    <t>LumpSum!$F$478</t>
  </si>
  <si>
    <t>price, t=2</t>
  </si>
  <si>
    <t>ror1</t>
  </si>
  <si>
    <t>ror2</t>
  </si>
  <si>
    <t xml:space="preserve"> : 2 year horizon: gain on 3 v. 2 yr</t>
  </si>
  <si>
    <t xml:space="preserve"> : 1 year horizon: gain on 3 v. 2 yr</t>
  </si>
  <si>
    <t>present value of arbitrage profit given zero storage costs</t>
  </si>
  <si>
    <t>% misvaluation relative to intrinsic value</t>
  </si>
  <si>
    <t>LumpSum!$F$696</t>
  </si>
  <si>
    <t>TQ19 Call option portfolio insurance, find ending stock price that gives this ROR</t>
  </si>
  <si>
    <t>the Treasury bill rate is a rate on short-term U.S. government bills, sold at discount</t>
  </si>
  <si>
    <t>ST22  Find preferred V(0) given dividend, CD rate, and risk premium</t>
  </si>
  <si>
    <t>: CD rate</t>
  </si>
  <si>
    <t xml:space="preserve">CR1b  Which purchase costs the least USD </t>
  </si>
  <si>
    <t>Intntl!$F$41</t>
  </si>
  <si>
    <t xml:space="preserve">CR1c  Which OR(sale,purchase) is best in USD </t>
  </si>
  <si>
    <t>Intntl!$J$41</t>
  </si>
  <si>
    <t>CR5  Contrast futures v. options hedge on currency</t>
  </si>
  <si>
    <t>Intntl!$B$67</t>
  </si>
  <si>
    <t>Multiple setup (CR4m)</t>
  </si>
  <si>
    <t>CR4am  Find required bid in foreign currency</t>
  </si>
  <si>
    <t>Intntl!$B$85</t>
  </si>
  <si>
    <t>CR4bm  Find revenue from export sale given x-rate fluctuation</t>
  </si>
  <si>
    <t>Intntl!$F$85</t>
  </si>
  <si>
    <t>quarterly set-up</t>
  </si>
  <si>
    <t>compounding frequency</t>
  </si>
  <si>
    <t>APR</t>
  </si>
  <si>
    <t>N-years</t>
  </si>
  <si>
    <t>N-periods</t>
  </si>
  <si>
    <t>EAR</t>
  </si>
  <si>
    <t>: cf1</t>
  </si>
  <si>
    <t>: cf2</t>
  </si>
  <si>
    <t>shareprice 2525</t>
  </si>
  <si>
    <t>change in average shareprice</t>
  </si>
  <si>
    <t>Multiple setup (CF1m)</t>
  </si>
  <si>
    <t>LumpSum!$B$650</t>
  </si>
  <si>
    <t>CY5  Is it worth switching the CD (intraperiod compounding)?</t>
  </si>
  <si>
    <t>BA10m Use the PPE relation</t>
  </si>
  <si>
    <t>BA10am find new SE</t>
  </si>
  <si>
    <t>SV4dm  Find holding period ROR given sustainable growth, retained earings, and p/e</t>
  </si>
  <si>
    <t>stocks!$N$314</t>
  </si>
  <si>
    <t>: is company or dissidents touting return</t>
  </si>
  <si>
    <t>: current period's market return</t>
  </si>
  <si>
    <t>: alpha</t>
  </si>
  <si>
    <t xml:space="preserve">: beta </t>
  </si>
  <si>
    <t>: market model return</t>
  </si>
  <si>
    <t>: exogenous company ROR</t>
  </si>
  <si>
    <t>: exogenous risk-adj ROR</t>
  </si>
  <si>
    <t>: endogenous company ROR given Risk-adj</t>
  </si>
  <si>
    <t>: endogenous risk-adjROR given company</t>
  </si>
  <si>
    <t>AP2cm  ROR market model</t>
  </si>
  <si>
    <t>AP2dm  ROR risk adjusted</t>
  </si>
  <si>
    <t>PortTheory!$R$285</t>
  </si>
  <si>
    <t>Wealth that business creates flows primarily as profits to financial markets.</t>
  </si>
  <si>
    <t>MB4  Earnings and shareprice reaction</t>
  </si>
  <si>
    <t>MB5  DJIA definition</t>
  </si>
  <si>
    <t>Conceptual!$B$959</t>
  </si>
  <si>
    <t>GeneralPV!$B$46</t>
  </si>
  <si>
    <t>GeneralPV!$F$46</t>
  </si>
  <si>
    <t>GeneralPV!$J$46</t>
  </si>
  <si>
    <t>: units / contract</t>
  </si>
  <si>
    <t>: spot(1)</t>
  </si>
  <si>
    <t>: futures(1)</t>
  </si>
  <si>
    <t>modifiers :</t>
  </si>
  <si>
    <t>: total units</t>
  </si>
  <si>
    <t>: profit on futures</t>
  </si>
  <si>
    <t>interest this year</t>
  </si>
  <si>
    <t>lifetime interest</t>
  </si>
  <si>
    <t>A true :</t>
  </si>
  <si>
    <t>A false :</t>
  </si>
  <si>
    <t>B true :</t>
  </si>
  <si>
    <t>B false :</t>
  </si>
  <si>
    <t>C true :</t>
  </si>
  <si>
    <t>C false :</t>
  </si>
  <si>
    <t>Conceptual!$B$228</t>
  </si>
  <si>
    <t>: today's deposit</t>
  </si>
  <si>
    <t>A disadvantage of the sole proprietorship is that they generally do not offer easy transferability of ownership.</t>
  </si>
  <si>
    <t xml:space="preserve"> : ytm rises or falls</t>
  </si>
  <si>
    <t xml:space="preserve"> : Z's current price</t>
  </si>
  <si>
    <t xml:space="preserve"> : change in basis points</t>
  </si>
  <si>
    <t xml:space="preserve"> : Z's new price</t>
  </si>
  <si>
    <t>AM8  Contrast interest during first and second halves of loan life</t>
  </si>
  <si>
    <t>GeneralPV!$B$346</t>
  </si>
  <si>
    <t>Multiple setup (AM3m)</t>
  </si>
  <si>
    <t>AM3am  Find payment</t>
  </si>
  <si>
    <t>GeneralPV!$B$371</t>
  </si>
  <si>
    <t>LS8  Find PV long ago given today's FV, r, and N with annual compounding</t>
  </si>
  <si>
    <t>CR2am  Triangle arbitrage, find equilibrium exchange rate given original condition</t>
  </si>
  <si>
    <t>Intntl!$B$134</t>
  </si>
  <si>
    <t>CR2bm  Triangle arbitrage, find equilibrium exchange rate given appreciation</t>
  </si>
  <si>
    <t>Intntl!$G$134</t>
  </si>
  <si>
    <t>AM3em  Find principal-to-date</t>
  </si>
  <si>
    <t>GeneralPV!$B$379</t>
  </si>
  <si>
    <t>AM3fm  Find previous payment’s interest</t>
  </si>
  <si>
    <t>FF4  Agency cost minimization mechanisms</t>
  </si>
  <si>
    <t>Conceptual!$B$298</t>
  </si>
  <si>
    <t>FA1!$F$431</t>
  </si>
  <si>
    <t>BA3cm  What is ROR in a one-period venture capitalist model</t>
  </si>
  <si>
    <t>FA1!$J$431</t>
  </si>
  <si>
    <t>AM2  How much is the payment in a simple setting</t>
  </si>
  <si>
    <t>GeneralPV!$B$208</t>
  </si>
  <si>
    <t>AM10 Find payoff amount on a loan midway into billing cycle</t>
  </si>
  <si>
    <t>AM9  How much principal is in the last payment?</t>
  </si>
  <si>
    <t>GeneralPV!$B$221</t>
  </si>
  <si>
    <t>AM5a  How long to reduce principal by half</t>
  </si>
  <si>
    <t>GeneralPV!$B$238</t>
  </si>
  <si>
    <t>AP2em  ROR actual given risk-adj</t>
  </si>
  <si>
    <t>capital market line</t>
  </si>
  <si>
    <t>security market line</t>
  </si>
  <si>
    <t>taxable income, 2526</t>
  </si>
  <si>
    <t>new retained earnings, 2526</t>
  </si>
  <si>
    <t>output variables</t>
  </si>
  <si>
    <t>number of cash flows for 1</t>
  </si>
  <si>
    <t>TR37 Purchasing power parity and inflation</t>
  </si>
  <si>
    <t>When the inflation rate in the domestic and foreign economies are equal then probably then probably next year’s spot price for a unit of foreign currency remains the same as this year’s price.</t>
  </si>
  <si>
    <t>Conceptual!$B$1648</t>
  </si>
  <si>
    <t xml:space="preserve">Japan plus the 11 countries adopting the Euro have equity markets roughly one half the size of the USA equity market </t>
  </si>
  <si>
    <t>the prime rate is the interest rate that the largest banks charge consumers on credit card debt</t>
  </si>
  <si>
    <t>the Treasury bill rate is the implied interest rate paid by the U.S. government on short-term loans</t>
  </si>
  <si>
    <t>the Treasury bill rate is the implied interest rate paid by the U.S. government on 30-year loans</t>
  </si>
  <si>
    <t>Target Balance Sheet</t>
  </si>
  <si>
    <t>: futures(0)</t>
  </si>
  <si>
    <t>Conceptual!$B$271</t>
  </si>
  <si>
    <t>years to save</t>
  </si>
  <si>
    <t>date for expense 2</t>
  </si>
  <si>
    <t>present value at the target rate</t>
  </si>
  <si>
    <t xml:space="preserve">BA1c  find new shareprice given one balance sheet, p/e, and income ratios </t>
  </si>
  <si>
    <t>FA1!$J$345</t>
  </si>
  <si>
    <t>BA1d  find new shareprice given one balance sheet, p/b, and income ratios</t>
  </si>
  <si>
    <t>FA1!$N$345</t>
  </si>
  <si>
    <r>
      <t>%</t>
    </r>
    <r>
      <rPr>
        <sz val="12"/>
        <rFont val="Symbol"/>
        <family val="1"/>
        <charset val="2"/>
      </rPr>
      <t>D</t>
    </r>
    <r>
      <rPr>
        <sz val="12"/>
        <rFont val="Arial"/>
        <family val="2"/>
      </rPr>
      <t xml:space="preserve"> book value</t>
    </r>
  </si>
  <si>
    <t>Multiple setup (BA2m)</t>
  </si>
  <si>
    <t>FA1!$B$370</t>
  </si>
  <si>
    <t>BA2am  Find net income given one balance sheet and ratios</t>
  </si>
  <si>
    <t>BA2bm  Find new SE given one balance sheet and ratios</t>
  </si>
  <si>
    <t>When banks advertise for loans they likely quote the APR.</t>
  </si>
  <si>
    <t>When banks advertise for loans they likely quote the EAR.</t>
  </si>
  <si>
    <t>When banks advertise for deposits they likely quote the EAR.</t>
  </si>
  <si>
    <t>When banks advertise for deposits they likely quote the APR.</t>
  </si>
  <si>
    <t>Rising interest rates within a country causes their sovereign currency to appreciate relative to other currencies in the foreign exchange market</t>
  </si>
  <si>
    <t>Conceptual!$B$1418</t>
  </si>
  <si>
    <t>BS35  currency exchange rate systems</t>
  </si>
  <si>
    <t>price-to-earnings  2526</t>
  </si>
  <si>
    <t>FA1!$B$911</t>
  </si>
  <si>
    <r>
      <t>GR2h  Find price-to-book given constant p/e and g</t>
    </r>
    <r>
      <rPr>
        <b/>
        <i/>
        <vertAlign val="superscript"/>
        <sz val="12"/>
        <rFont val="Arial"/>
        <family val="2"/>
      </rPr>
      <t>sustainable</t>
    </r>
  </si>
  <si>
    <t>FA1!$F$545</t>
  </si>
  <si>
    <r>
      <t>GR2i  Find shareprice given constant p/e and g</t>
    </r>
    <r>
      <rPr>
        <b/>
        <i/>
        <vertAlign val="superscript"/>
        <sz val="12"/>
        <rFont val="Arial"/>
        <family val="2"/>
      </rPr>
      <t>sustainable</t>
    </r>
  </si>
  <si>
    <t>FA1!$J$545</t>
  </si>
  <si>
    <t>number of cash flows for 2</t>
  </si>
  <si>
    <t>years from now</t>
  </si>
  <si>
    <t>expense 1</t>
  </si>
  <si>
    <t>w(X) / w(Y)</t>
  </si>
  <si>
    <t>target portfolio return</t>
  </si>
  <si>
    <t>target w(X)</t>
  </si>
  <si>
    <t>mask30</t>
  </si>
  <si>
    <t>cash flow 2</t>
  </si>
  <si>
    <t>frequency</t>
  </si>
  <si>
    <t>Stockholders equity (0)</t>
  </si>
  <si>
    <t># shares</t>
  </si>
  <si>
    <t>payout rtio</t>
  </si>
  <si>
    <t>P/E (0)</t>
  </si>
  <si>
    <t>discount rate</t>
  </si>
  <si>
    <t>Conceptual!$B$1020</t>
  </si>
  <si>
    <t>PV10 Find actual ROR for annuity given CF, FV, target r, and counteroffer (CF&gt;0)</t>
  </si>
  <si>
    <t>: counteroffer</t>
  </si>
  <si>
    <t>GeneralPV!$B$580</t>
  </si>
  <si>
    <t>GeneralPV!$F$580</t>
  </si>
  <si>
    <t>LS3  Find FV of Manhattan with annual compounding</t>
  </si>
  <si>
    <t>TR31  T/F  Primary market supply and demand</t>
  </si>
  <si>
    <t>The supply schedule for primary market securities is very flat (elastic) and means that a small change in equilibrium price associates with an extreme change in equilibrium quantity.</t>
  </si>
  <si>
    <t>Conceptual!$B$1512</t>
  </si>
  <si>
    <t>asset turnover ratio</t>
  </si>
  <si>
    <t>apr monthly</t>
  </si>
  <si>
    <t>apr daily</t>
  </si>
  <si>
    <t>ear daily</t>
  </si>
  <si>
    <t>ear monthly</t>
  </si>
  <si>
    <t>daily is::</t>
  </si>
  <si>
    <t>BANK X</t>
  </si>
  <si>
    <t>BANK Y</t>
  </si>
  <si>
    <t>breakeven price lower bound</t>
  </si>
  <si>
    <t>breakeven price upper bound</t>
  </si>
  <si>
    <t>beginning price</t>
  </si>
  <si>
    <t>FF3  Agency costs borne by shareholders</t>
  </si>
  <si>
    <t>Conceptual!$B$289</t>
  </si>
  <si>
    <t>a rating change from C to B implies the spread between the bond and Treasuries probably will narrow</t>
  </si>
  <si>
    <t>a C-rated bond is more creditworthy than an A-rated bond</t>
  </si>
  <si>
    <t>a C-rated bond has more default risk than an A-rated bond</t>
  </si>
  <si>
    <t>curr per USD</t>
  </si>
  <si>
    <t>new curr per USD</t>
  </si>
  <si>
    <t>mask25</t>
  </si>
  <si>
    <t>LS14  Find N given this year's periodic interest, long ago's PV, and r</t>
  </si>
  <si>
    <t>LumpSum!$B$326</t>
  </si>
  <si>
    <t>: div(-N) in cents</t>
  </si>
  <si>
    <t>stocks!$B$417</t>
  </si>
  <si>
    <t>: correct</t>
  </si>
  <si>
    <t>: sets</t>
  </si>
  <si>
    <t>: annotated</t>
  </si>
  <si>
    <t>The stock market is efficient but the bond market is not.</t>
  </si>
  <si>
    <t>The EMH argues that stock prices quickly respond to new information, but that the adjustment process takes some time.</t>
  </si>
  <si>
    <t>BD12  Coupon bond</t>
  </si>
  <si>
    <t>current yield</t>
  </si>
  <si>
    <t>capital gains yield</t>
  </si>
  <si>
    <t>BondApps!$B$199</t>
  </si>
  <si>
    <t>BondApps!$F$199</t>
  </si>
  <si>
    <t>GeneralPV!$B$567</t>
  </si>
  <si>
    <t>pv(cash flow 2)</t>
  </si>
  <si>
    <t>sumpv</t>
  </si>
  <si>
    <t>expected risk premium for the market portfolio</t>
  </si>
  <si>
    <t>Sign variables, OR(+1,-1)</t>
  </si>
  <si>
    <t>incremental cash flow stream, amortized fees</t>
  </si>
  <si>
    <t>incremental cash flow stream, prepaid fees</t>
  </si>
  <si>
    <t>: payback period</t>
  </si>
  <si>
    <t>company's expected return</t>
  </si>
  <si>
    <t>actual r w/ forced shortfall</t>
  </si>
  <si>
    <t>:  price</t>
  </si>
  <si>
    <t>: coupon rate</t>
  </si>
  <si>
    <t>: yield to maturity</t>
  </si>
  <si>
    <t>: capital cains yield</t>
  </si>
  <si>
    <t>: exchange revenue</t>
  </si>
  <si>
    <t>partition the previous payment</t>
  </si>
  <si>
    <t>the interest rate that an issuer must pay is lower for an A-rated than for a C-rated bond</t>
  </si>
  <si>
    <t>ER2cm  Find portfolio AND(return,stddev) given probabilities</t>
  </si>
  <si>
    <t>PortTheory!$J$105</t>
  </si>
  <si>
    <t>ER2d  Find target weight given desired portfolio return and probabilities</t>
  </si>
  <si>
    <t>PortTheory!$N$105</t>
  </si>
  <si>
    <t>: false</t>
  </si>
  <si>
    <t>: ror target</t>
  </si>
  <si>
    <t>: cf2 actual</t>
  </si>
  <si>
    <t>: cf2 target</t>
  </si>
  <si>
    <t>: SE(t-1)</t>
  </si>
  <si>
    <t>: SE(t)</t>
  </si>
  <si>
    <t>: ROR target</t>
  </si>
  <si>
    <t>: ROE target</t>
  </si>
  <si>
    <t>: Div target</t>
  </si>
  <si>
    <t>: MC(t)</t>
  </si>
  <si>
    <t>: SE target</t>
  </si>
  <si>
    <t>: MC target</t>
  </si>
  <si>
    <t>: ROE(t) [=NI(t)/SE(t-1)]</t>
  </si>
  <si>
    <t>: MC(t-1)</t>
  </si>
  <si>
    <t>: Div(t)</t>
  </si>
  <si>
    <t>: ROR target errorcheck</t>
  </si>
  <si>
    <t>: ROR(t)</t>
  </si>
  <si>
    <t>What is gain on this bond vs. a 1-year bond?</t>
  </si>
  <si>
    <t>TR15  discount rate, pvifa, and fvifa</t>
  </si>
  <si>
    <t>FT6a  Find net cost/revenue of a hedged currency transaction</t>
  </si>
  <si>
    <t>Multiple setup (FT6)</t>
  </si>
  <si>
    <t>Options!$B$248</t>
  </si>
  <si>
    <t>FT6b  Find net benefit and strategy from a hedged currency transaction</t>
  </si>
  <si>
    <t>Options!$F$248</t>
  </si>
  <si>
    <t>to issue large numbers of new stocks to existing target shareholders.</t>
  </si>
  <si>
    <t>shareprice (0)</t>
  </si>
  <si>
    <t>strategy in futures market</t>
  </si>
  <si>
    <t>strategy in spot market</t>
  </si>
  <si>
    <t>mask10</t>
  </si>
  <si>
    <t>equity book value, 12/31/2526</t>
  </si>
  <si>
    <t>shares</t>
  </si>
  <si>
    <t>pvifa=</t>
  </si>
  <si>
    <t>ER9m diversification benefits given unequal probabilities</t>
  </si>
  <si>
    <t>ER7  Given the weight find the diversification benefit</t>
  </si>
  <si>
    <t>PortTheory!$B$133</t>
  </si>
  <si>
    <t>ER8m diversification benefits given zero correlation</t>
  </si>
  <si>
    <r>
      <t>GR2j  Find shareholder ROR given constant p/e and g</t>
    </r>
    <r>
      <rPr>
        <b/>
        <i/>
        <vertAlign val="superscript"/>
        <sz val="12"/>
        <rFont val="Arial"/>
        <family val="2"/>
      </rPr>
      <t>sustainable</t>
    </r>
  </si>
  <si>
    <t>large institutional asset allocation recommendations outperform a robot (fixed) strategy most of the time</t>
  </si>
  <si>
    <t>Conceptual!$B$1337</t>
  </si>
  <si>
    <t>Options!$B$92</t>
  </si>
  <si>
    <t>BondApps!$F$62</t>
  </si>
  <si>
    <t>BD8 percentage price change for a zero coupon bond</t>
  </si>
  <si>
    <t>Multiple setup (BD3m)</t>
  </si>
  <si>
    <t>Multiple setup (BD7)</t>
  </si>
  <si>
    <t>BD3am  Find this seasoned bond’s price</t>
  </si>
  <si>
    <t>The initial one day average return on an IPO is about 15% to 25% and, irrespective of the contract with the investment banker, the issuing company does not receive that day’s capital gain</t>
  </si>
  <si>
    <t>FA1!$B$1006</t>
  </si>
  <si>
    <t>BA16 Find ROR given P(0), P(1), and div(1)</t>
  </si>
  <si>
    <t>securities mostly trade through an electronic telecommunications network without human intervention</t>
  </si>
  <si>
    <t>C-T:</t>
  </si>
  <si>
    <t>AM3hm  Find previous payment’s OR(interest, principal)</t>
  </si>
  <si>
    <t>GeneralPV!$N$379</t>
  </si>
  <si>
    <t>correct pair 1:</t>
  </si>
  <si>
    <t>correct pair 2:</t>
  </si>
  <si>
    <t>Conglomerate Variables and Parameters</t>
  </si>
  <si>
    <t>Raider Balance Sheet</t>
  </si>
  <si>
    <t>is the risk-return profile that contains the set of all dominant portfolios comprised possibly of all securities</t>
  </si>
  <si>
    <t>BS14 comparison of NYSE NASDAQ</t>
  </si>
  <si>
    <t>asset allocation is the divvying of investment funds into broad asset classes</t>
  </si>
  <si>
    <t>asset allocation is determining which specific securities are good</t>
  </si>
  <si>
    <t>traditional asset classes include stocks, bonds, and cash</t>
  </si>
  <si>
    <t>AM7  Contrast time required at front and backend to reduce loan by same percent</t>
  </si>
  <si>
    <t>GeneralPV!$B$406</t>
  </si>
  <si>
    <t>TeacherQuestions!$B$172</t>
  </si>
  <si>
    <t>CY1  Credit card effective annual rate</t>
  </si>
  <si>
    <t>LumpSum!$B$681</t>
  </si>
  <si>
    <t>LS13  Find N given PV long ago and today's FV, and r</t>
  </si>
  <si>
    <t>LumpSum!$B$313</t>
  </si>
  <si>
    <t>Options!$B$410</t>
  </si>
  <si>
    <t>DS9  Valuation effects of collar</t>
  </si>
  <si>
    <t>MB25 Work with DJA&amp;Z stock index</t>
  </si>
  <si>
    <t>: priceA (0)</t>
  </si>
  <si>
    <t>: DJ (1)</t>
  </si>
  <si>
    <t>: priceZ (0)</t>
  </si>
  <si>
    <t>: divisor (1)</t>
  </si>
  <si>
    <t>: DJ (0)</t>
  </si>
  <si>
    <t>: split-adjusted priceZ (1)</t>
  </si>
  <si>
    <t>: priceA (1)</t>
  </si>
  <si>
    <t>: priceZ (1)</t>
  </si>
  <si>
    <t>MB25a post split index</t>
  </si>
  <si>
    <t>MB25b post split divisor</t>
  </si>
  <si>
    <t>MB25b post split divisor and index</t>
  </si>
  <si>
    <t>Conceptual!$B$1774</t>
  </si>
  <si>
    <t>Conceptual!$F$1774</t>
  </si>
  <si>
    <t>Conceptual!$J$1774</t>
  </si>
  <si>
    <t>npmts made such that this principal remains</t>
  </si>
  <si>
    <t>LumpSum!$B$18</t>
  </si>
  <si>
    <t>make random (shortfall,surplus)</t>
  </si>
  <si>
    <t>taking a long position on SP500 stocks and a long position on SP500 futures contracts in order to capitalize on fleeting price discrepancies</t>
  </si>
  <si>
    <t>MC9  Find annual ROR given today's deposit and 2 irregular and different monthly cash flows</t>
  </si>
  <si>
    <t>LumpSum!$B$831</t>
  </si>
  <si>
    <t>return2</t>
  </si>
  <si>
    <t>Conceptual!$B$202</t>
  </si>
  <si>
    <t>stocks with large betas earn high equilibrium rates of return</t>
  </si>
  <si>
    <t>PV3bm  Find PV given an investment's return stream and target rate of return</t>
  </si>
  <si>
    <t>GeneralPV!$F$317</t>
  </si>
  <si>
    <t>PV3cm  Find the actual ROR given an investment's return stream, target ROR, and counteroffer purchase price</t>
  </si>
  <si>
    <t>GeneralPV!$J$317</t>
  </si>
  <si>
    <t>: price next year in currency 1 of one currency 2</t>
  </si>
  <si>
    <t>Intntl!$B$19</t>
  </si>
  <si>
    <t>Options!$F$197</t>
  </si>
  <si>
    <t>BE8 Total breakeven given target EAC (PD=0)</t>
  </si>
  <si>
    <t>: variable cost @EACtarget</t>
  </si>
  <si>
    <t>PortTheory!$B$742</t>
  </si>
  <si>
    <t>BE8a Total breakeven sales</t>
  </si>
  <si>
    <t>PortTheory!$F$742</t>
  </si>
  <si>
    <t>BE8b Total breakeven sales &amp; VC</t>
  </si>
  <si>
    <t>TQ6  Partition simple lump-sum interest</t>
  </si>
  <si>
    <t>: apr</t>
  </si>
  <si>
    <t>: years ago</t>
  </si>
  <si>
    <t>: years ahead</t>
  </si>
  <si>
    <t>an asset-backed bond may give the bond-holder cash flows paid by state governments on loans for highway improvements</t>
  </si>
  <si>
    <t>MR4bm  Find diversification benefits for forced weight portfolio</t>
  </si>
  <si>
    <t>: basis</t>
  </si>
  <si>
    <t>: MACRS4</t>
  </si>
  <si>
    <t>: pv deductions per $1</t>
  </si>
  <si>
    <t>: pv tax savings</t>
  </si>
  <si>
    <t>CapBud!$B$371</t>
  </si>
  <si>
    <t>MR6  Find minrisk weight and implication for DB and rho</t>
  </si>
  <si>
    <t>PortTheory!$B$777</t>
  </si>
  <si>
    <t>fewer</t>
  </si>
  <si>
    <t>MR7  Min-risk allocation and average risk</t>
  </si>
  <si>
    <t>weight-Y @ minimum risk</t>
  </si>
  <si>
    <t>weight-X @ minimum risk</t>
  </si>
  <si>
    <t>PortTheory!$B$792</t>
  </si>
  <si>
    <t>: intrinsic value</t>
  </si>
  <si>
    <t>Conceptual!$B$30</t>
  </si>
  <si>
    <t>futures price</t>
  </si>
  <si>
    <t>spot price</t>
  </si>
  <si>
    <t>pmts-remaining</t>
  </si>
  <si>
    <t>a balanced fund invests in stocks from a balanced cross-section of the economy</t>
  </si>
  <si>
    <t>Wealth that business creates flows primarily as profits to employees.</t>
  </si>
  <si>
    <t>ruble</t>
  </si>
  <si>
    <t>dinar</t>
  </si>
  <si>
    <t>renminbi</t>
  </si>
  <si>
    <t>ROR for 2526</t>
  </si>
  <si>
    <t>Total Assets</t>
  </si>
  <si>
    <t>: stock ror</t>
  </si>
  <si>
    <t>: pe ratio</t>
  </si>
  <si>
    <t>: price now</t>
  </si>
  <si>
    <t>: price begin</t>
  </si>
  <si>
    <t>: price change</t>
  </si>
  <si>
    <t>FA1!$B$805</t>
  </si>
  <si>
    <t>FA14  Find change in stock price from last year given ror etc</t>
  </si>
  <si>
    <t>: cost of goods sold</t>
  </si>
  <si>
    <t>: variable costs at target</t>
  </si>
  <si>
    <t>CapBud!$F$278</t>
  </si>
  <si>
    <t>CapBud!$J$278</t>
  </si>
  <si>
    <t>CY10a  Find r given target FV, actual FV, and N (intraperiod compounding</t>
  </si>
  <si>
    <t>Multiple setup (CY10)</t>
  </si>
  <si>
    <t>LumpSum!$B$696</t>
  </si>
  <si>
    <t>CY10b  Find r given target FV, actual FV, and N (intraperiod compounding);  WORD CHOICES</t>
  </si>
  <si>
    <t>Conceptual!$B$505</t>
  </si>
  <si>
    <t>Conceptual!$B$168</t>
  </si>
  <si>
    <t>dollar change in shareprice</t>
  </si>
  <si>
    <t>original market cap</t>
  </si>
  <si>
    <t>new market cap</t>
  </si>
  <si>
    <t>%change in market cap</t>
  </si>
  <si>
    <t>house price today</t>
  </si>
  <si>
    <t>annual house price inflation</t>
  </si>
  <si>
    <t>years in future until purchase</t>
  </si>
  <si>
    <t>: Debt(2526) given new RE plus Debt financing</t>
  </si>
  <si>
    <t>FA1!$F$48</t>
  </si>
  <si>
    <t>ST15  Find P given div0, r, and divyld</t>
  </si>
  <si>
    <t>: divyld</t>
  </si>
  <si>
    <t>: P(0)</t>
  </si>
  <si>
    <t>: g</t>
  </si>
  <si>
    <t>stocks!$B$358</t>
  </si>
  <si>
    <t>: N</t>
  </si>
  <si>
    <t>: div(-N)</t>
  </si>
  <si>
    <t>ST16  Find V and r given div0, div(-N), and divyld</t>
  </si>
  <si>
    <t>stocks!$B$372</t>
  </si>
  <si>
    <t>ST17 Find risk premium given div increase, div(0), rf, and P</t>
  </si>
  <si>
    <t>: risk premium</t>
  </si>
  <si>
    <t>stocks!$B$386</t>
  </si>
  <si>
    <t>Multiple setup (MC2)</t>
  </si>
  <si>
    <t>LumpSum!$B$726</t>
  </si>
  <si>
    <t>the interest rate probably is greater on tax-exempt AAA municipal bonds than on taxable AAA corporate bonds</t>
  </si>
  <si>
    <t xml:space="preserve">             </t>
  </si>
  <si>
    <t>this year's total interest</t>
  </si>
  <si>
    <t>FV now</t>
  </si>
  <si>
    <t>next year's total interest</t>
  </si>
  <si>
    <t>next year's interest-on-interest</t>
  </si>
  <si>
    <t>payment frequency (noun)</t>
  </si>
  <si>
    <t>: next year's foreign currency per domestic currency</t>
  </si>
  <si>
    <t>: today's price of 1 foreign currency in USD</t>
  </si>
  <si>
    <t xml:space="preserve">: today's futures price </t>
  </si>
  <si>
    <t>Risk2</t>
  </si>
  <si>
    <t>Return</t>
  </si>
  <si>
    <t>X:Y</t>
  </si>
  <si>
    <t>Y:Z</t>
  </si>
  <si>
    <t>Z:X</t>
  </si>
  <si>
    <t xml:space="preserve">AP3b  Find beta and OR(conservative,aggressive) given return observations </t>
  </si>
  <si>
    <t>PortTheory!$F$264</t>
  </si>
  <si>
    <r>
      <t>AP4a/AP4c/AP4e  Find beta given r</t>
    </r>
    <r>
      <rPr>
        <b/>
        <i/>
        <vertAlign val="subscript"/>
        <sz val="12"/>
        <rFont val="Arial"/>
        <family val="2"/>
      </rPr>
      <t>f</t>
    </r>
    <r>
      <rPr>
        <b/>
        <i/>
        <sz val="12"/>
        <rFont val="Arial"/>
        <family val="2"/>
      </rPr>
      <t>, and risk premia</t>
    </r>
  </si>
  <si>
    <t>CB13 Find NPV for perpetuity and depreciation tax shield</t>
  </si>
  <si>
    <t>: pretax cash flow</t>
  </si>
  <si>
    <t>: tax life</t>
  </si>
  <si>
    <t>: pv perpetuity</t>
  </si>
  <si>
    <t>: pvtxd</t>
  </si>
  <si>
    <t>CapBud!$B$225</t>
  </si>
  <si>
    <t>usually their plans involve liquidating their investment after 4 to 7 years</t>
  </si>
  <si>
    <t>post-shock intrinsic value</t>
  </si>
  <si>
    <t>beta</t>
  </si>
  <si>
    <t>% change in intrinsic value</t>
  </si>
  <si>
    <t>DS19 buy-and ride</t>
  </si>
  <si>
    <t>Conceptual!$B$525</t>
  </si>
  <si>
    <t>Conceptual!$B$424</t>
  </si>
  <si>
    <t>loss or gain</t>
  </si>
  <si>
    <t>portfolio, t=2</t>
  </si>
  <si>
    <t>σ treats extreme upside returns as being less risky than downside returns because investors perceive upside returns as good opportunities</t>
  </si>
  <si>
    <t>Conceptual!$B$46</t>
  </si>
  <si>
    <t xml:space="preserve"> : annual ROR for buying a 3 year bond for 2-years</t>
  </si>
  <si>
    <t>wrongs:</t>
  </si>
  <si>
    <t xml:space="preserve">: USD equivalent of currency 1 </t>
  </si>
  <si>
    <t xml:space="preserve">: USD equivalent of currency 2 </t>
  </si>
  <si>
    <t>: sales or cost in currency 2</t>
  </si>
  <si>
    <t>company's expected risk premium</t>
  </si>
  <si>
    <t>: false 1</t>
  </si>
  <si>
    <t>: false 2</t>
  </si>
  <si>
    <t>cumulative ROR</t>
  </si>
  <si>
    <t>: true</t>
  </si>
  <si>
    <t>financing rate</t>
  </si>
  <si>
    <t>target FV</t>
  </si>
  <si>
    <t>actual r</t>
  </si>
  <si>
    <t>actual FV</t>
  </si>
  <si>
    <t>shortfall</t>
  </si>
  <si>
    <t>Options!$B$63</t>
  </si>
  <si>
    <t>CY2  Find optimal switch point given quarterly compounding</t>
  </si>
  <si>
    <t>LumpSum!$B$620</t>
  </si>
  <si>
    <t>: Total Assets, 12/31/2526</t>
  </si>
  <si>
    <t>: debt-to-assets</t>
  </si>
  <si>
    <r>
      <t>GR4  Find TA next year given g</t>
    </r>
    <r>
      <rPr>
        <b/>
        <i/>
        <vertAlign val="superscript"/>
        <sz val="12"/>
        <rFont val="Arial"/>
        <family val="2"/>
      </rPr>
      <t>sustainable</t>
    </r>
  </si>
  <si>
    <t>FA1!$B$932</t>
  </si>
  <si>
    <t>CB2a  Given alternative investment’s cash flows, find which alternative is better at x%</t>
  </si>
  <si>
    <t>CapBud!$B$163</t>
  </si>
  <si>
    <t>TeacherQuestions!$B$284</t>
  </si>
  <si>
    <t>ER13  Portfolio average ror</t>
  </si>
  <si>
    <t>PortTheory!$B$566</t>
  </si>
  <si>
    <t>Multiple setup (ER14)</t>
  </si>
  <si>
    <t>rho</t>
  </si>
  <si>
    <t>: port return</t>
  </si>
  <si>
    <t>: port risk</t>
  </si>
  <si>
    <t>PortTheory!$B$582</t>
  </si>
  <si>
    <r>
      <t xml:space="preserve"> : %</t>
    </r>
    <r>
      <rPr>
        <sz val="12"/>
        <rFont val="Symbol"/>
        <family val="1"/>
        <charset val="2"/>
      </rPr>
      <t>D</t>
    </r>
    <r>
      <rPr>
        <sz val="12"/>
        <rFont val="Arial"/>
        <family val="2"/>
      </rPr>
      <t xml:space="preserve"> Z's price</t>
    </r>
  </si>
  <si>
    <r>
      <t>D</t>
    </r>
    <r>
      <rPr>
        <sz val="12"/>
        <rFont val="Arial"/>
        <family val="2"/>
      </rPr>
      <t>ytm</t>
    </r>
  </si>
  <si>
    <t>Multiple setup (BD4m)</t>
  </si>
  <si>
    <t>BD4am  What are prices for two zero coupon bonds</t>
  </si>
  <si>
    <t>BondApps!$B$114</t>
  </si>
  <si>
    <t>p(-20)</t>
  </si>
  <si>
    <t>breakeven p(0)</t>
  </si>
  <si>
    <t>N-day MA</t>
  </si>
  <si>
    <t xml:space="preserve">N </t>
  </si>
  <si>
    <t>counter-offer price</t>
  </si>
  <si>
    <t xml:space="preserve">ROR : </t>
  </si>
  <si>
    <t>no. shares in conglomerate</t>
  </si>
  <si>
    <t>cash flow from assets</t>
  </si>
  <si>
    <t>capital expen.</t>
  </si>
  <si>
    <t>Flag variables, OR(0,1)</t>
  </si>
  <si>
    <t>:flag1</t>
  </si>
  <si>
    <t>:flag2</t>
  </si>
  <si>
    <t>:flag3</t>
  </si>
  <si>
    <t>:flag4</t>
  </si>
  <si>
    <t>:flag5</t>
  </si>
  <si>
    <t>annual percentage rate</t>
  </si>
  <si>
    <t>monthly interest</t>
  </si>
  <si>
    <t>term in years</t>
  </si>
  <si>
    <t>given I/Y=</t>
  </si>
  <si>
    <t>taxes</t>
  </si>
  <si>
    <t>: second deposit</t>
  </si>
  <si>
    <t>: months from now you make second deposit</t>
  </si>
  <si>
    <t>: FV in one year</t>
  </si>
  <si>
    <t>PP&amp;E</t>
  </si>
  <si>
    <t>repurchase ratio</t>
  </si>
  <si>
    <t>Curr. Liabilities</t>
  </si>
  <si>
    <t>exogenous growth rate</t>
  </si>
  <si>
    <t>CapBud!$B$385</t>
  </si>
  <si>
    <t>price(+1)</t>
  </si>
  <si>
    <t>amount of second cash flows</t>
  </si>
  <si>
    <t>shareprice</t>
  </si>
  <si>
    <t>: currency 1 per currency 3</t>
  </si>
  <si>
    <t>: equilibrium currency 3 per currency 2</t>
  </si>
  <si>
    <t>deviation in r, basis points</t>
  </si>
  <si>
    <t>actual FV w/ forced shortfall</t>
  </si>
  <si>
    <t>ST2bm  Find actual ROR on counteroffer given dividend history and required ROR</t>
  </si>
  <si>
    <t>stocks!$F$222</t>
  </si>
  <si>
    <t>Multiple setup (ST1)</t>
  </si>
  <si>
    <t>stocks!$B$238</t>
  </si>
  <si>
    <t>stocks!$F$238</t>
  </si>
  <si>
    <t>more prominent markets for asset-backed securities include mortgages, consumer credit, and student loans</t>
  </si>
  <si>
    <t>more prominent markets for asset-backed securities include municipal bonds, corporate bonds, and government bonds</t>
  </si>
  <si>
    <t>FF26 Asset backed securities</t>
  </si>
  <si>
    <t>Average payment period</t>
  </si>
  <si>
    <t>Payables, original</t>
  </si>
  <si>
    <t>Payables new</t>
  </si>
  <si>
    <t>CT</t>
  </si>
  <si>
    <t>CF</t>
  </si>
  <si>
    <t>DT</t>
  </si>
  <si>
    <t>DF</t>
  </si>
  <si>
    <t>ET</t>
  </si>
  <si>
    <t>EF</t>
  </si>
  <si>
    <t>the NYSE asks companies for permission and pays them for the right to trade their securities</t>
  </si>
  <si>
    <t>E-T:</t>
  </si>
  <si>
    <t>E-F:</t>
  </si>
  <si>
    <t>SV4bm  Find AND(intrinsic value, inference) given sustainable growth, retained earings, and p/e</t>
  </si>
  <si>
    <t>stocks!$F$314</t>
  </si>
  <si>
    <t>PortTheory!$F$200</t>
  </si>
  <si>
    <t>AP7  Find security risk premium given beta and market risk premium</t>
  </si>
  <si>
    <t>PortTheory!$B$212</t>
  </si>
  <si>
    <t>CB2b  Given alternative investment’s cash flows, at what rate are the NPV’s equal</t>
  </si>
  <si>
    <t>One of the product lines for insurance companies that is showing the largest revenue growth is annuity premiums.</t>
  </si>
  <si>
    <t>Conceptual!$B$894</t>
  </si>
  <si>
    <t>MB7  Bond price to coupon rate relation</t>
  </si>
  <si>
    <t>For a premium bond the yield-to-maturity is less than the coupon rate</t>
  </si>
  <si>
    <t>target ROR on position</t>
  </si>
  <si>
    <t>overall position</t>
  </si>
  <si>
    <t>beginning wealth</t>
  </si>
  <si>
    <t>intrinsic value (0)</t>
  </si>
  <si>
    <t>dividend (+1)</t>
  </si>
  <si>
    <t>FA11  Find equity multiplier, debt-to-assets, and debt-to-equity</t>
  </si>
  <si>
    <t>: stockholders equity</t>
  </si>
  <si>
    <t>: debt</t>
  </si>
  <si>
    <t>: total assets</t>
  </si>
  <si>
    <t>maturity month-pairs</t>
  </si>
  <si>
    <t>January</t>
  </si>
  <si>
    <t>February</t>
  </si>
  <si>
    <t>March</t>
  </si>
  <si>
    <t>April</t>
  </si>
  <si>
    <t>May</t>
  </si>
  <si>
    <t>June</t>
  </si>
  <si>
    <t>July</t>
  </si>
  <si>
    <t>August</t>
  </si>
  <si>
    <t>September</t>
  </si>
  <si>
    <t>October</t>
  </si>
  <si>
    <t>November</t>
  </si>
  <si>
    <t>December</t>
  </si>
  <si>
    <t>: today's month</t>
  </si>
  <si>
    <t>: maturity month</t>
  </si>
  <si>
    <t>: maturity year</t>
  </si>
  <si>
    <t>BondApps!$B$163</t>
  </si>
  <si>
    <t>: deposit</t>
  </si>
  <si>
    <t>: fv</t>
  </si>
  <si>
    <t>: int-on-principal</t>
  </si>
  <si>
    <t>: int-on-interest</t>
  </si>
  <si>
    <t>When the company dividend payout ratio is 100% then the ROR equals the ROE multiplied by the equity price-to-book ratio.</t>
  </si>
  <si>
    <t>Conceptual!$B$1680</t>
  </si>
  <si>
    <t>: stock price yesterday</t>
  </si>
  <si>
    <t>: percent increase in shareprice</t>
  </si>
  <si>
    <t>: change in market cap</t>
  </si>
  <si>
    <t>FA1!$B$749</t>
  </si>
  <si>
    <t>FA1!$R$268</t>
  </si>
  <si>
    <t>publicly traded bond prices hardly move when a rating change is announced</t>
  </si>
  <si>
    <t>a rating change from C to B implies fewer institutions will be allowed to own the bond</t>
  </si>
  <si>
    <t xml:space="preserve">TR25 (T/F) Effect of payout policy and company opportunities on intrinsic P/E ratio </t>
  </si>
  <si>
    <t>: div-hat(-1)</t>
  </si>
  <si>
    <t>: div-hat(0)</t>
  </si>
  <si>
    <t>stocks!$B$404</t>
  </si>
  <si>
    <t>ST18 Time series estimate of dividend growth rate and V</t>
  </si>
  <si>
    <t>: first div this period from now</t>
  </si>
  <si>
    <t>: constant div thereafter</t>
  </si>
  <si>
    <t>: V then</t>
  </si>
  <si>
    <t>: V now</t>
  </si>
  <si>
    <t>TeacherQuestions!$B$64</t>
  </si>
  <si>
    <r>
      <t xml:space="preserve">The </t>
    </r>
    <r>
      <rPr>
        <i/>
        <sz val="12"/>
        <rFont val="Arial"/>
        <family val="2"/>
      </rPr>
      <t>National Stock Exchange (NSX)</t>
    </r>
    <r>
      <rPr>
        <sz val="12"/>
        <rFont val="Arial"/>
        <family val="2"/>
      </rPr>
      <t xml:space="preserve"> in Chicago is the third largest stock market in the U.S.A.  NSX was founded in 1885 as the Cincinnati Stock Exchange.</t>
    </r>
  </si>
  <si>
    <t>repurchase price, 12/31/2526</t>
  </si>
  <si>
    <t>payments per year</t>
  </si>
  <si>
    <t>net equity issues</t>
  </si>
  <si>
    <t>cash surplus</t>
  </si>
  <si>
    <t>: NPV 3-year</t>
  </si>
  <si>
    <t>AT</t>
  </si>
  <si>
    <t>shares outstanding</t>
  </si>
  <si>
    <t>price-to-book equity 2525</t>
  </si>
  <si>
    <t>: lag dividend yield</t>
  </si>
  <si>
    <t>: total ror</t>
  </si>
  <si>
    <t>stocks!$B$44</t>
  </si>
  <si>
    <t>weight1 @ minimum risk</t>
  </si>
  <si>
    <t>: shares outstanding</t>
  </si>
  <si>
    <t>DS3b  Find shareprice such that ROR on speculative OR(call,put) is x%</t>
  </si>
  <si>
    <t>Options!$F$322</t>
  </si>
  <si>
    <t>DS11 Call option ending shareprice giving specified ror</t>
  </si>
  <si>
    <t>PV3am  Quantitatively and qualitatively compare the target and actual ROR given the return stream and various cost scenarios</t>
  </si>
  <si>
    <t>GeneralPV!$B$317</t>
  </si>
  <si>
    <t>1V, 2W, 3U, 6X, 7Z</t>
  </si>
  <si>
    <t>2Z, 3U, 4Y, 6T, 7W</t>
  </si>
  <si>
    <t>1Y, 4X, 5W, 6T, 7U</t>
  </si>
  <si>
    <t>FASB wants income statements to show only accrued cash flows</t>
  </si>
  <si>
    <t>stockholder equity 2525</t>
  </si>
  <si>
    <t>Add neither, since both have expected returns less than required returns.</t>
  </si>
  <si>
    <t>currency:</t>
  </si>
  <si>
    <t>sell</t>
  </si>
  <si>
    <t>OR(buy,sell)</t>
  </si>
  <si>
    <t>best :</t>
  </si>
  <si>
    <t>worst :</t>
  </si>
  <si>
    <t>Conceptual!$B$451</t>
  </si>
  <si>
    <t>BS18  Which attribute of the nyse is true</t>
  </si>
  <si>
    <t>: NPV 2-year</t>
  </si>
  <si>
    <t>: EACF 3-year</t>
  </si>
  <si>
    <t>: EACF 2-year</t>
  </si>
  <si>
    <t>2-year contract</t>
  </si>
  <si>
    <t>3-year contract</t>
  </si>
  <si>
    <t>traditional asset classes include stocks, bonds, cash, options, and futures</t>
  </si>
  <si>
    <t>modern asset allocation categories include large cap stocks, small cap stocks, bonds, cash, owner occupied housing (real estate), and international equities</t>
  </si>
  <si>
    <t>modern asset allocation categories include large cap stocks, small cap stocks, bonds, cash, and mutual funds</t>
  </si>
  <si>
    <r>
      <t>passes through two points with coordinates (standard deviation, rate of return) equal to (0, risk-free rate</t>
    </r>
    <r>
      <rPr>
        <sz val="10"/>
        <rFont val="Symbol"/>
        <family val="1"/>
        <charset val="2"/>
      </rPr>
      <t>)</t>
    </r>
    <r>
      <rPr>
        <sz val="10"/>
        <rFont val="Arial"/>
        <family val="2"/>
      </rPr>
      <t xml:space="preserve"> and (market standard deviation, expected market return)</t>
    </r>
  </si>
  <si>
    <t>Conceptual!$B$1495</t>
  </si>
  <si>
    <t>Conceptual!$B$760</t>
  </si>
  <si>
    <t>BS19  Which attribute of the cash flow cycle is true.</t>
  </si>
  <si>
    <t>Markets and institutions provide financial resources to business solely for the purpose of getting voting rights in corporate decisions.</t>
  </si>
  <si>
    <t>weak</t>
  </si>
  <si>
    <t>moderate</t>
  </si>
  <si>
    <t>strong</t>
  </si>
  <si>
    <t xml:space="preserve">Labor provides services to business and receive wages in a competitive and fluid economy that exactly equal the value of labor's contribution. </t>
  </si>
  <si>
    <t>FV(3)</t>
  </si>
  <si>
    <t>N(1)</t>
  </si>
  <si>
    <t>N(2)</t>
  </si>
  <si>
    <t>FV after one year</t>
  </si>
  <si>
    <t>breakeven I/Y=</t>
  </si>
  <si>
    <t>wrong penalty=</t>
  </si>
  <si>
    <t>this year's interest</t>
  </si>
  <si>
    <t>FV this year</t>
  </si>
  <si>
    <t>N,     N+1</t>
  </si>
  <si>
    <t>: PV of savings</t>
  </si>
  <si>
    <t>: PV of costs</t>
  </si>
  <si>
    <t>beginning futures price</t>
  </si>
  <si>
    <t>ending futures price</t>
  </si>
  <si>
    <t>margin %</t>
  </si>
  <si>
    <t>change in shareprice</t>
  </si>
  <si>
    <t>CB14  Find the monthly DISCOUNTED payback period</t>
  </si>
  <si>
    <t>CapBud!$B$240</t>
  </si>
  <si>
    <t>CB15  Find the payback period for perpetuity</t>
  </si>
  <si>
    <t>CapBud!$B$252</t>
  </si>
  <si>
    <t>CB16  Find the DISCOUNTED payback period for perpetuity</t>
  </si>
  <si>
    <t>CapBud!$B$265</t>
  </si>
  <si>
    <t>CB16a  Discounted payback</t>
  </si>
  <si>
    <t>CB16b AND(regular &amp; discounted)</t>
  </si>
  <si>
    <t>: discounted payback period</t>
  </si>
  <si>
    <t>: regular payback</t>
  </si>
  <si>
    <t>CapBud!$F$265</t>
  </si>
  <si>
    <t>With a floating exchange rate system market supply and demand forces determine the exchange rate by which one currency converts into other currencies</t>
  </si>
  <si>
    <t>TS1  Find each deposit for a perpetual endowment OR Find each withdrawal for a perpetual endowment given the deposit history</t>
  </si>
  <si>
    <t>total</t>
  </si>
  <si>
    <t>: today's domestic price of BigMac</t>
  </si>
  <si>
    <t>relative to USD</t>
  </si>
  <si>
    <t>An advantage of the corporation is that they raise capital more easily.</t>
  </si>
  <si>
    <t>A disadvantage of the corporation is that they raise capital more easily.</t>
  </si>
  <si>
    <t>Conceptual!$B$558</t>
  </si>
  <si>
    <t>FF14  Which definition of the information set is consistent with the Efficient Market Hypothesis</t>
  </si>
  <si>
    <t>Conceptual!$B$571</t>
  </si>
  <si>
    <t>LumpSum!$B$846</t>
  </si>
  <si>
    <t>MC11  Find annual ROR given target ROR, monthly mixed cash flows, and terminal value</t>
  </si>
  <si>
    <t>LumpSum!$B$861</t>
  </si>
  <si>
    <t>with lucrative payments in event they are terminated because of a take-over.</t>
  </si>
  <si>
    <t>: key</t>
  </si>
  <si>
    <t>T :</t>
  </si>
  <si>
    <t>F :</t>
  </si>
  <si>
    <t>Conceptual!$B$1504</t>
  </si>
  <si>
    <t>FF30  T/F  Cash budgeting discriminatory power for frequency</t>
  </si>
  <si>
    <t>MR1em  Find weight for minimum risk portfolio given equally weighted outcomes</t>
  </si>
  <si>
    <t>PortTheory!$R$150</t>
  </si>
  <si>
    <t>MR2am  Find weight for minimum risk portfolio given returns, risks and correlation</t>
  </si>
  <si>
    <t>Internal Growth and Constant p/e</t>
  </si>
  <si>
    <t>dividends for 2526</t>
  </si>
  <si>
    <t>p(-2)</t>
  </si>
  <si>
    <t>cross-over p(0)</t>
  </si>
  <si>
    <t>equity book value, 2526</t>
  </si>
  <si>
    <t>BE1a  Quantity at breakeven</t>
  </si>
  <si>
    <t>BE1  Operating breakeven quantity</t>
  </si>
  <si>
    <t>BE1b  Quantity at target EBIT</t>
  </si>
  <si>
    <t>: Total sales revenue</t>
  </si>
  <si>
    <t>BE2  Operating breakeven sales revenue</t>
  </si>
  <si>
    <t>: Operating breakeven revenue</t>
  </si>
  <si>
    <t>: target breakeven revenue</t>
  </si>
  <si>
    <t>PortTheory!$B$433</t>
  </si>
  <si>
    <t>BE2a  Operating breakeven sales revenue</t>
  </si>
  <si>
    <t>PortTheory!$F$433</t>
  </si>
  <si>
    <t>BE2b  Target breakeven sales revenue</t>
  </si>
  <si>
    <t>weight alpha</t>
  </si>
  <si>
    <t>weight Zed</t>
  </si>
  <si>
    <t>portfolio</t>
  </si>
  <si>
    <t>average risk</t>
  </si>
  <si>
    <t>TeacherQuestions!$B$80</t>
  </si>
  <si>
    <t>loss per share for Raider</t>
  </si>
  <si>
    <t>Conceptual!$B$460</t>
  </si>
  <si>
    <t>BS22  NASDAQ attributes</t>
  </si>
  <si>
    <t>Conceptual!$B$469</t>
  </si>
  <si>
    <t>BS26  Nasdaq characteristics</t>
  </si>
  <si>
    <t>Conceptual!$B$478</t>
  </si>
  <si>
    <t>BS15  Exchange clearinghouse function</t>
  </si>
  <si>
    <t>Conceptual!$B$487</t>
  </si>
  <si>
    <t>BS9  Define a discount broker</t>
  </si>
  <si>
    <t>Conceptual!$B$496</t>
  </si>
  <si>
    <t>NPV@x%</t>
  </si>
  <si>
    <t>cost</t>
  </si>
  <si>
    <t>: currency 3 per currency 2</t>
  </si>
  <si>
    <t>share price</t>
  </si>
  <si>
    <t>for put &amp; stock</t>
  </si>
  <si>
    <t>AP11 price of risk on capital market line</t>
  </si>
  <si>
    <t>Inventory, new</t>
  </si>
  <si>
    <t>OneFromThree</t>
  </si>
  <si>
    <t>DS12 In-the-money call</t>
  </si>
  <si>
    <t>DS13 In-the-money put</t>
  </si>
  <si>
    <t>DS14 In-the-money OR(call, put)</t>
  </si>
  <si>
    <t>DS15 What are executive stock options</t>
  </si>
  <si>
    <t>DS16 Match the profit profile</t>
  </si>
  <si>
    <t>DS18 intrinsic value of the option and arbitrage opportunity</t>
  </si>
  <si>
    <t>Options!$N$289</t>
  </si>
  <si>
    <t>minimum option price (time value =.05)</t>
  </si>
  <si>
    <t>: p/e</t>
  </si>
  <si>
    <t>: payout</t>
  </si>
  <si>
    <t>: dividend(0)</t>
  </si>
  <si>
    <t>: g-interim</t>
  </si>
  <si>
    <t>: div(-1)</t>
  </si>
  <si>
    <t>: div(-2)</t>
  </si>
  <si>
    <t>: div(-3)</t>
  </si>
  <si>
    <t>: div(-4)</t>
  </si>
  <si>
    <t>: div(0)</t>
  </si>
  <si>
    <t>: g-BLUE</t>
  </si>
  <si>
    <t>ln(y)</t>
  </si>
  <si>
    <t>x</t>
  </si>
  <si>
    <t>: ln(1+g)</t>
  </si>
  <si>
    <t>: V(0)</t>
  </si>
  <si>
    <t>: div(1)</t>
  </si>
  <si>
    <t>: ln(div(-5))</t>
  </si>
  <si>
    <t>stocks!$B$331</t>
  </si>
  <si>
    <t>ST13 Time series estimate of dividend growth rate and V</t>
  </si>
  <si>
    <t>Rising interest rates within a country causes their sovereign currency to depreciate relative to other currencies in the foreign exchange market</t>
  </si>
  <si>
    <t>Multiple setup (BD5)</t>
  </si>
  <si>
    <t>gain:</t>
  </si>
  <si>
    <t>BD5a  Riding the yield curve problem; 2-year horizon</t>
  </si>
  <si>
    <t>BondApps!$B$136</t>
  </si>
  <si>
    <t>BD5b  Riding the yield curve problem; 1-year horizon, 1 vs. OR(2,3) year bond</t>
  </si>
  <si>
    <t>BondApps!$F$136</t>
  </si>
  <si>
    <t>They usually are company insiders with very close personal relationships with senior management</t>
  </si>
  <si>
    <t>They are elected to the Board by shareholders</t>
  </si>
  <si>
    <t>They are elected to the Board by senior management</t>
  </si>
  <si>
    <t>: annual dividend</t>
  </si>
  <si>
    <t>: price(0)</t>
  </si>
  <si>
    <t>: dividend yield (0)</t>
  </si>
  <si>
    <t>the discount rate means, generically, the rate used to find a present value</t>
  </si>
  <si>
    <t>purchase premium</t>
  </si>
  <si>
    <t>rate of return at (intrinsica value + purchase premium)</t>
  </si>
  <si>
    <t>purchase price</t>
  </si>
  <si>
    <t>ror on overall position given % change shareprice</t>
  </si>
  <si>
    <t>ROR on counter-offer</t>
  </si>
  <si>
    <t>CF3d  find operating cash flow &amp; valuation inference given one balance sheet and income ratios</t>
  </si>
  <si>
    <t>: NPV of refinancing venture</t>
  </si>
  <si>
    <t>surplus</t>
  </si>
  <si>
    <t>: Stockholders equity</t>
  </si>
  <si>
    <t>: EACtarget</t>
  </si>
  <si>
    <t>: targetROE</t>
  </si>
  <si>
    <t>: new variable costs</t>
  </si>
  <si>
    <t>: net profit margin before</t>
  </si>
  <si>
    <t>The initial one day average return on an IPO is about 15% to 25% and, irrespective of the contract with the investment banker, the issuing company and investment banker equally share that day’s capital gain</t>
  </si>
  <si>
    <t>: false in-use</t>
  </si>
  <si>
    <t>Multiple setup (ER1)</t>
  </si>
  <si>
    <t>future value of arbitrage profit given zero storage costs</t>
  </si>
  <si>
    <t>C-true:</t>
  </si>
  <si>
    <t>C-false:</t>
  </si>
  <si>
    <t>Conceptual!$B$83</t>
  </si>
  <si>
    <t>sales</t>
  </si>
  <si>
    <t>interest</t>
  </si>
  <si>
    <t>New retained earnings, 2526</t>
  </si>
  <si>
    <t>false3 :</t>
  </si>
  <si>
    <t>false4 :</t>
  </si>
  <si>
    <t>returnX</t>
  </si>
  <si>
    <t>riskX</t>
  </si>
  <si>
    <t>returnY</t>
  </si>
  <si>
    <t>riskY</t>
  </si>
  <si>
    <t>PortTheory!$B$617</t>
  </si>
  <si>
    <t>: enhancement</t>
  </si>
  <si>
    <t>Options!$B$124</t>
  </si>
  <si>
    <t>Options!$F$124</t>
  </si>
  <si>
    <t>Cash</t>
  </si>
  <si>
    <t>Debt</t>
  </si>
  <si>
    <t>payout ratio</t>
  </si>
  <si>
    <t>Net Income, 2526</t>
  </si>
  <si>
    <t>Increase in net profit margin</t>
  </si>
  <si>
    <t>direction of price change</t>
  </si>
  <si>
    <t>annual interest</t>
  </si>
  <si>
    <t>deviation in r</t>
  </si>
  <si>
    <t>TQ13  Portfolio average ror</t>
  </si>
  <si>
    <t>: total wealth</t>
  </si>
  <si>
    <t>: actual cross-price of FC1 relative to FC2</t>
  </si>
  <si>
    <t>: FC2 relative to FC1</t>
  </si>
  <si>
    <t>: FC1 relative to FC2</t>
  </si>
  <si>
    <t>frequency, noun</t>
  </si>
  <si>
    <t>frequency, adverb</t>
  </si>
  <si>
    <t>frequency, number</t>
  </si>
  <si>
    <t>accumulation at end of first stream</t>
  </si>
  <si>
    <t>CR6  Triangle arbitrage and valuation inferences</t>
  </si>
  <si>
    <t>the discount rate measures the amount by which the interest rate at Credit Unions exceeds the rate at Federal Reserve banks</t>
  </si>
  <si>
    <t>interest this period</t>
  </si>
  <si>
    <t>the annual average rate of return over the past 70 years has been higher for T-bills than for small company stocks</t>
  </si>
  <si>
    <t>: option price</t>
  </si>
  <si>
    <t>: arbitrage profit</t>
  </si>
  <si>
    <t>Options!$B$15</t>
  </si>
  <si>
    <t>: ending wealth</t>
  </si>
  <si>
    <t>: ending share price</t>
  </si>
  <si>
    <t>Options!$B$28</t>
  </si>
  <si>
    <t>yuan</t>
  </si>
  <si>
    <t>an asset-backed bond may give the bond-holder cash flows paid by college graduates on student loans</t>
  </si>
  <si>
    <t>an asset-backed bond may give the bond-holder cash flows paid by publicly traded corporations for loans financing capital investments</t>
  </si>
  <si>
    <t>Conceptual!$B$604</t>
  </si>
  <si>
    <t>BS11  NYSE characteristics, find one true statement</t>
  </si>
  <si>
    <t>NYSE has largest market cap in the USA</t>
  </si>
  <si>
    <t>dividends (1)</t>
  </si>
  <si>
    <t>intrinsic value (1)</t>
  </si>
  <si>
    <t>ending wealth</t>
  </si>
  <si>
    <t>holding period ror</t>
  </si>
  <si>
    <t xml:space="preserve">correct : </t>
  </si>
  <si>
    <r>
      <t>The</t>
    </r>
    <r>
      <rPr>
        <i/>
        <sz val="12"/>
        <rFont val="Arial"/>
        <family val="2"/>
      </rPr>
      <t xml:space="preserve"> Philadelphia</t>
    </r>
    <r>
      <rPr>
        <sz val="12"/>
        <rFont val="Arial"/>
        <family val="2"/>
      </rPr>
      <t xml:space="preserve"> </t>
    </r>
    <r>
      <rPr>
        <i/>
        <sz val="12"/>
        <rFont val="Arial"/>
        <family val="2"/>
      </rPr>
      <t>Stock Exchange (PHLX)</t>
    </r>
    <r>
      <rPr>
        <sz val="12"/>
        <rFont val="Arial"/>
        <family val="2"/>
      </rPr>
      <t xml:space="preserve"> was founded in 1790 and is the nation’s oldest.  The </t>
    </r>
    <r>
      <rPr>
        <i/>
        <sz val="12"/>
        <rFont val="Arial"/>
        <family val="2"/>
      </rPr>
      <t>PHLX</t>
    </r>
    <r>
      <rPr>
        <sz val="12"/>
        <rFont val="Arial"/>
        <family val="2"/>
      </rPr>
      <t xml:space="preserve"> trades more stocks than any other exchange except its bigger neighbor, the New York Stock Exchange.</t>
    </r>
  </si>
  <si>
    <t>D true :</t>
  </si>
  <si>
    <t>D false :</t>
  </si>
  <si>
    <t>E true :</t>
  </si>
  <si>
    <t>E false :</t>
  </si>
  <si>
    <t>GeneralPV!$F$379</t>
  </si>
  <si>
    <t>efficient frontier</t>
  </si>
  <si>
    <t>nominal r</t>
  </si>
  <si>
    <t>cost(N)</t>
  </si>
  <si>
    <t>inflation</t>
  </si>
  <si>
    <t>real rate</t>
  </si>
  <si>
    <t>true A</t>
  </si>
  <si>
    <t>false A</t>
  </si>
  <si>
    <t>true B</t>
  </si>
  <si>
    <t>false B</t>
  </si>
  <si>
    <t>true C</t>
  </si>
  <si>
    <t>: market portfolio risk</t>
  </si>
  <si>
    <t>int due=</t>
  </si>
  <si>
    <t>Multiple setup (GR2)</t>
  </si>
  <si>
    <r>
      <t>GR2a  Find g</t>
    </r>
    <r>
      <rPr>
        <b/>
        <i/>
        <vertAlign val="superscript"/>
        <sz val="12"/>
        <rFont val="Arial"/>
        <family val="2"/>
      </rPr>
      <t>internal</t>
    </r>
    <r>
      <rPr>
        <b/>
        <i/>
        <sz val="12"/>
        <rFont val="Arial"/>
        <family val="2"/>
      </rPr>
      <t xml:space="preserve"> given constant p/e and</t>
    </r>
  </si>
  <si>
    <t>FA1!$B$529</t>
  </si>
  <si>
    <r>
      <t>GR2b  Find shareholder ROR given constant p/e and g</t>
    </r>
    <r>
      <rPr>
        <b/>
        <i/>
        <vertAlign val="superscript"/>
        <sz val="12"/>
        <rFont val="Arial"/>
        <family val="2"/>
      </rPr>
      <t>internal</t>
    </r>
  </si>
  <si>
    <t>FA1!$F$529</t>
  </si>
  <si>
    <t>TR27  Compare EAR and APR wrt bank advertisements</t>
  </si>
  <si>
    <t>FV10m  Find FV given simple plan</t>
  </si>
  <si>
    <t>GeneralPV!$B$472</t>
  </si>
  <si>
    <t>ER1am  Find expected return given probabilities</t>
  </si>
  <si>
    <t>FF28  (T/F) What is the source of value when a company creates value</t>
  </si>
  <si>
    <t xml:space="preserve"> : breakeven N (quarters)</t>
  </si>
  <si>
    <t>: type</t>
  </si>
  <si>
    <t>number of intermediate coupons</t>
  </si>
  <si>
    <t>breakeven penalty=</t>
  </si>
  <si>
    <t>CB19  Find NPV and IRR for mixed monthly annuity</t>
  </si>
  <si>
    <t>CB18  Find NPV and IRR for mixed annual annuity</t>
  </si>
  <si>
    <t>CapBud!$B$310</t>
  </si>
  <si>
    <t>CapBud!$F$310</t>
  </si>
  <si>
    <t>CB18a  NPV</t>
  </si>
  <si>
    <t>CapBud!$B$294</t>
  </si>
  <si>
    <t>CB19a  NPV</t>
  </si>
  <si>
    <t>FA1!$N$545</t>
  </si>
  <si>
    <t>BS1  What accounting policies are FASB and SEC debating</t>
  </si>
  <si>
    <t>Conceptual!$B$989</t>
  </si>
  <si>
    <t>BS2  FASB and market value accounting</t>
  </si>
  <si>
    <t>security risk premium</t>
  </si>
  <si>
    <t>for OR( ) questions</t>
  </si>
  <si>
    <t>expected return on the market portfolio</t>
  </si>
  <si>
    <t xml:space="preserve">: P&amp;I given zero payments made </t>
  </si>
  <si>
    <t>: P&amp;I given one payment was made</t>
  </si>
  <si>
    <t>: N payments already made</t>
  </si>
  <si>
    <t>: P&amp;I given N payments made</t>
  </si>
  <si>
    <t>the unit of measurement for σ is “%” and that is identical to the unit of measurement for expected return</t>
  </si>
  <si>
    <t># years of savings</t>
  </si>
  <si>
    <t>dividend (0)</t>
  </si>
  <si>
    <t>CAPM required rate of return</t>
  </si>
  <si>
    <t>correlation</t>
  </si>
  <si>
    <t>portfolio:</t>
  </si>
  <si>
    <t>: net cost or revenue</t>
  </si>
  <si>
    <t>price(0)</t>
  </si>
  <si>
    <t>CY4  Compare EAR on loans given terms</t>
  </si>
  <si>
    <t>true:</t>
  </si>
  <si>
    <t>false1:</t>
  </si>
  <si>
    <t>false2:</t>
  </si>
  <si>
    <t>cost of goods sold</t>
  </si>
  <si>
    <t>Income Statement,1/1-12/31/2525</t>
  </si>
  <si>
    <t>operating income</t>
  </si>
  <si>
    <t>AM9a Principal</t>
  </si>
  <si>
    <t>GeneralPV!$F$221</t>
  </si>
  <si>
    <t>GeneralPV!$J$221</t>
  </si>
  <si>
    <t>AM9b Interest</t>
  </si>
  <si>
    <t>AM9c OR(Principal,interest)</t>
  </si>
  <si>
    <t>Multiple setup (DS6)</t>
  </si>
  <si>
    <t>Options!$B$342</t>
  </si>
  <si>
    <t>BondApps!$F$82</t>
  </si>
  <si>
    <t>BD3cm  Find this seasoned bond’s price when you later sell it (changing ytm)</t>
  </si>
  <si>
    <t>LS6b  Find next year’s interest-on-interest on a deposit made long ago given annual compounding</t>
  </si>
  <si>
    <t>LumpSum!$F$120</t>
  </si>
  <si>
    <t>GeneralPV!$B$655</t>
  </si>
  <si>
    <t>the NASDAQ comprises a physical location whereas the NYSE is only a sophisticated telecommunications network</t>
  </si>
  <si>
    <r>
      <t>D</t>
    </r>
    <r>
      <rPr>
        <sz val="12"/>
        <rFont val="Arial"/>
        <family val="2"/>
      </rPr>
      <t>princ (=x)</t>
    </r>
  </si>
  <si>
    <t>earnings before int&amp;tax</t>
  </si>
  <si>
    <t>Long Term Debt</t>
  </si>
  <si>
    <t>ebit / sales</t>
  </si>
  <si>
    <t>interest rate</t>
  </si>
  <si>
    <t>depreciation / pp&amp;e</t>
  </si>
  <si>
    <t>initial price</t>
  </si>
  <si>
    <t>dividend</t>
  </si>
  <si>
    <t>ending price at t+1</t>
  </si>
  <si>
    <t>debt-to-assets ratio</t>
  </si>
  <si>
    <t>equity multiplier</t>
  </si>
  <si>
    <t>price-to-earnings (0)</t>
  </si>
  <si>
    <t>security X</t>
  </si>
  <si>
    <t>FF2  What are the sources of value</t>
  </si>
  <si>
    <t>Conceptual!$B$262</t>
  </si>
  <si>
    <t>FF19  what are the 3 traditional subdisciplines of finance</t>
  </si>
  <si>
    <t>: #contracts</t>
  </si>
  <si>
    <t>prin due=</t>
  </si>
  <si>
    <t>total paid=</t>
  </si>
  <si>
    <t>: months from now you withdraw everything</t>
  </si>
  <si>
    <t>TeacherQuestions!$B$21</t>
  </si>
  <si>
    <t>: today's beginning balance</t>
  </si>
  <si>
    <t>TQ16  Describe buy-side participants</t>
  </si>
  <si>
    <t>TQ17  Stock index arbitrage</t>
  </si>
  <si>
    <t>TQ7  Find FV long after making the last of two irregular and different deposits</t>
  </si>
  <si>
    <t>BondApps!$B$82</t>
  </si>
  <si>
    <t>FF13  Identify A random walk down Wall Street</t>
  </si>
  <si>
    <t>Conceptual!$B$361</t>
  </si>
  <si>
    <t>for security returns that are normally distributed about 95% of all outcomes lie within one σ of the expected return</t>
  </si>
  <si>
    <t>SV4am  Find intrinsic value given sustainable growth, retained earings, and p/e</t>
  </si>
  <si>
    <t>Multiple setup (SV4)</t>
  </si>
  <si>
    <t>stocks!$B$314</t>
  </si>
  <si>
    <t>expected return for X</t>
  </si>
  <si>
    <t>: slope of CML (BP)</t>
  </si>
  <si>
    <t>PortTheory!$B$46</t>
  </si>
  <si>
    <t>FourFromSix</t>
  </si>
  <si>
    <t>the discount rate is a specific rate that the Federal Reserve Banks charges on loans to depository institutions</t>
  </si>
  <si>
    <t xml:space="preserve">FA15m </t>
  </si>
  <si>
    <t>: stockholder equity 2526</t>
  </si>
  <si>
    <t>: ROE</t>
  </si>
  <si>
    <t>: current assets</t>
  </si>
  <si>
    <t>: PP&amp;E</t>
  </si>
  <si>
    <t>: total costs</t>
  </si>
  <si>
    <t>TeacherQuestions!$B$191</t>
  </si>
  <si>
    <t>: SE(2526) given 100% financing of cap_expen by new equity</t>
  </si>
  <si>
    <t>FA1!$B$48</t>
  </si>
  <si>
    <t>future house price</t>
  </si>
  <si>
    <t>BA6  DuPont analysis and inference between company and industry</t>
  </si>
  <si>
    <t>FA1!$B$393</t>
  </si>
  <si>
    <t>: #shs(2525)</t>
  </si>
  <si>
    <t>: bookvalue(2525)</t>
  </si>
  <si>
    <t>: #shs(2526)</t>
  </si>
  <si>
    <t>: bookvalue(2526)</t>
  </si>
  <si>
    <t>: New retained earnings</t>
  </si>
  <si>
    <t>: SE(2525)</t>
  </si>
  <si>
    <t>: Net equity issues</t>
  </si>
  <si>
    <t>dividend growth rate</t>
  </si>
  <si>
    <t>stock A beta</t>
  </si>
  <si>
    <t>debt-to-equity</t>
  </si>
  <si>
    <t>debt-to-assets</t>
  </si>
  <si>
    <t>FA1!$B$762</t>
  </si>
  <si>
    <t>FA12  Find net income given income statement items</t>
  </si>
  <si>
    <t xml:space="preserve"> : current 2-year yield-to-maturity</t>
  </si>
  <si>
    <t xml:space="preserve"> : current 3-year yield-to-maturity</t>
  </si>
  <si>
    <t>DS1a  Find type and option price given intrinsic value that provides arb profit</t>
  </si>
  <si>
    <t>DS1b Find type and option price given AND(intrinsic value, time value) that provides arb profit</t>
  </si>
  <si>
    <t>Options!$B$426</t>
  </si>
  <si>
    <t>return</t>
  </si>
  <si>
    <t>odds of return</t>
  </si>
  <si>
    <t>: breakeven price</t>
  </si>
  <si>
    <t>FA19  Find shareholder's ROR given P(-1), div(0), and P(0)</t>
  </si>
  <si>
    <t>: P(-1)</t>
  </si>
  <si>
    <t>FA1!$B$1035</t>
  </si>
  <si>
    <t>large institutional asset allocation recommendations outperform a robot (fixed) strategy about half the time</t>
  </si>
  <si>
    <t>: periodiic</t>
  </si>
  <si>
    <t>balance in account immediately after expense 1 is paid (given actual ror)</t>
  </si>
  <si>
    <t>LumpSum!$B$977</t>
  </si>
  <si>
    <t>BS6  What is a mutual fund objective</t>
  </si>
  <si>
    <t>GeneralPV!$F$116</t>
  </si>
  <si>
    <t>FV4cm  Find FV from second of two different retirement strategies</t>
  </si>
  <si>
    <t>GeneralPV!$J$116</t>
  </si>
  <si>
    <t>CB17  Find NPV and IRR for perpetuity</t>
  </si>
  <si>
    <t>CapBud!$B$278</t>
  </si>
  <si>
    <t>CB17a  AND(npv,irr)</t>
  </si>
  <si>
    <t>PV4  find PV of deposit stream that has an ending balance</t>
  </si>
  <si>
    <t>GeneralPV$B$62</t>
  </si>
  <si>
    <t>FV2am  Find total lifetime interest</t>
  </si>
  <si>
    <t>GeneralPV!$B$80</t>
  </si>
  <si>
    <t>Double taxation refers to when US corporations pay taxes on profits, distribute the profits to capitalists, and then capitalists pay taxes on the distribution.</t>
  </si>
  <si>
    <t>Economists persuasively argue that double-taxation biases the allocation of capital and makes the economy less wealthy.</t>
  </si>
  <si>
    <t>Economists persuasively argue that double-taxation enables government spending that makes the citizens safer and more secure.</t>
  </si>
  <si>
    <t>Economic studies find that if double-taxation were abolished then payments from the business sector to stakeholders and capitalists would increase.</t>
  </si>
  <si>
    <t>Economic studies find that if double-taxation were abolished then payments from the business sector to stakeholders and capitalists would decrease.</t>
  </si>
  <si>
    <t>Conceptual!$B$1748</t>
  </si>
  <si>
    <t>FF33  Describe double-taxation</t>
  </si>
  <si>
    <t>FA1!$F$571</t>
  </si>
  <si>
    <r>
      <t>GR5  Find OR(</t>
    </r>
    <r>
      <rPr>
        <b/>
        <i/>
        <sz val="12"/>
        <rFont val="Symbol"/>
        <family val="1"/>
        <charset val="2"/>
      </rPr>
      <t>D</t>
    </r>
    <r>
      <rPr>
        <b/>
        <i/>
        <sz val="12"/>
        <rFont val="Arial"/>
        <family val="2"/>
      </rPr>
      <t>TA,</t>
    </r>
    <r>
      <rPr>
        <b/>
        <i/>
        <sz val="12"/>
        <rFont val="Symbol"/>
        <family val="1"/>
        <charset val="2"/>
      </rPr>
      <t>D</t>
    </r>
    <r>
      <rPr>
        <b/>
        <i/>
        <sz val="12"/>
        <rFont val="Arial"/>
        <family val="2"/>
      </rPr>
      <t>Sales) given sustainable growth rate</t>
    </r>
  </si>
  <si>
    <t>FA1!$B$585</t>
  </si>
  <si>
    <t>for call, conditioned on time value</t>
  </si>
  <si>
    <t>TR42: Characteristics of financial ratio categories</t>
  </si>
  <si>
    <t>Conceptual!$B$1830</t>
  </si>
  <si>
    <t>TR17  Asset turnover ratio is biggest for whom</t>
  </si>
  <si>
    <t>: asset turnover :: sales</t>
  </si>
  <si>
    <t>: price-to-book</t>
  </si>
  <si>
    <t>: #shares</t>
  </si>
  <si>
    <t>: price(2525)</t>
  </si>
  <si>
    <t>: #shares to finance capital expenditure</t>
  </si>
  <si>
    <t>: SE(2526) given 100% financing of cap_expen by new issues</t>
  </si>
  <si>
    <t>: price(2526)</t>
  </si>
  <si>
    <t>: dividend per share</t>
  </si>
  <si>
    <t>FA1!$B$712</t>
  </si>
  <si>
    <t>FA1!$F$712</t>
  </si>
  <si>
    <t>FA1!$J$712</t>
  </si>
  <si>
    <t>: Total variable costs</t>
  </si>
  <si>
    <t>: variable cost per $revenue</t>
  </si>
  <si>
    <t>generally they are extremely involved in managerial decision-making</t>
  </si>
  <si>
    <t>initial deposit</t>
  </si>
  <si>
    <t>withdrawals</t>
  </si>
  <si>
    <r>
      <t>S</t>
    </r>
    <r>
      <rPr>
        <sz val="12"/>
        <rFont val="Arial"/>
        <family val="2"/>
      </rPr>
      <t>year1</t>
    </r>
  </si>
  <si>
    <r>
      <t>S</t>
    </r>
    <r>
      <rPr>
        <sz val="12"/>
        <rFont val="Arial"/>
        <family val="2"/>
      </rPr>
      <t>year1,2</t>
    </r>
  </si>
  <si>
    <r>
      <t>S</t>
    </r>
    <r>
      <rPr>
        <sz val="12"/>
        <rFont val="Arial"/>
        <family val="2"/>
      </rPr>
      <t>year1,2,3</t>
    </r>
  </si>
  <si>
    <t>CB1  Find the monthly payback period</t>
  </si>
  <si>
    <t>CapBud!$B$31</t>
  </si>
  <si>
    <t>CB7  Payback period for bank on a mortgage</t>
  </si>
  <si>
    <t>CapBud!$B$47</t>
  </si>
  <si>
    <t>CB11 find irr on mixed cash flow</t>
  </si>
  <si>
    <t>BA2dm  Find %change shareprice given one balance sheet and ratios</t>
  </si>
  <si>
    <t>FA1!$N$370</t>
  </si>
  <si>
    <t>BA9m Find next year's Stockholders' equity</t>
  </si>
  <si>
    <t>venture financing typically involves an equity-stake in the company</t>
  </si>
  <si>
    <t>venture financing typically is like a loan with fixed interest payments and repayment of principal</t>
  </si>
  <si>
    <t>venture financing typically goes to small or mid-sized companies with a lot of potential</t>
  </si>
  <si>
    <t>venture financing typically goes to established large companies with impressive histories</t>
  </si>
  <si>
    <t>venture financing represents a relatively small sum when compared to the larger banks and public capital markets</t>
  </si>
  <si>
    <t>venture financing represents more than half of all money borrowed by US companies</t>
  </si>
  <si>
    <t>BD13  Find counteroffer</t>
  </si>
  <si>
    <t>: sweetener BP</t>
  </si>
  <si>
    <t>: yield-to-maturity</t>
  </si>
  <si>
    <t>BondApps!$B$216</t>
  </si>
  <si>
    <t>BondApps!$F$216</t>
  </si>
  <si>
    <t>BD13a  Find counteroffer</t>
  </si>
  <si>
    <t>BD13b  Find and(ytm,counteroffer)</t>
  </si>
  <si>
    <t>FV14  Find CF given FV, r, and N (monthly compounding)</t>
  </si>
  <si>
    <t>FV15  Find deposit CF given PV, FV, r, and N (quarterly compounding)</t>
  </si>
  <si>
    <t>GeneralPV!$B$668</t>
  </si>
  <si>
    <t>: no-arb spot price of one domestic currency</t>
  </si>
  <si>
    <t>: numeraire country</t>
  </si>
  <si>
    <t>: spot price in NC of 1 FC</t>
  </si>
  <si>
    <t>: NC interest rate</t>
  </si>
  <si>
    <t>: numeraire currency (NC)</t>
  </si>
  <si>
    <t>: FC interest rate</t>
  </si>
  <si>
    <t>: fwd mkt inference</t>
  </si>
  <si>
    <t>correct spot inference :</t>
  </si>
  <si>
    <t>Intntl!$J$227</t>
  </si>
  <si>
    <t>PR3c  no-arb spot rate</t>
  </si>
  <si>
    <t>Intntl!$N$227</t>
  </si>
  <si>
    <t>a balanced fund invests in a both stocks and bonds with the purpose of preserving capital</t>
  </si>
  <si>
    <t>dividends 2526</t>
  </si>
  <si>
    <t>studies show individual security selection explains less than asset allocation about long run performance</t>
  </si>
  <si>
    <t xml:space="preserve">FASB wants balance sheets to show only accrued balances </t>
  </si>
  <si>
    <t>PortTheory!$B$16</t>
  </si>
  <si>
    <t>PortTheory!$F$16</t>
  </si>
  <si>
    <t>Currency names</t>
  </si>
  <si>
    <t>: wrong</t>
  </si>
  <si>
    <t>FC2 :</t>
  </si>
  <si>
    <t>The official government “federal funds rate” is the interest rate charged by Federal Reserve District banks to member public and private banks.</t>
  </si>
  <si>
    <t>The reserve requirement on member bank accounts regulates the amount of loans that banks may lend to business and individual borrowers.</t>
  </si>
  <si>
    <t>Buying and selling currencies and government securities in the global financial marketplace affects supply and demand conditions for capital.</t>
  </si>
  <si>
    <t>Buying and selling currencies and government securities in the global financial marketplace causes widespread panic and capital flight.</t>
  </si>
  <si>
    <t>Conceptual!$B$1814</t>
  </si>
  <si>
    <t>The reserve requirement on member bank accounts regulates the amount of deposits that banks may borrow from business and individual depositors.</t>
  </si>
  <si>
    <t>LumpSum!$J$961</t>
  </si>
  <si>
    <t>FA1!$F$762</t>
  </si>
  <si>
    <t>FA11a</t>
  </si>
  <si>
    <t>FA11b</t>
  </si>
  <si>
    <t>sell with basis point pickup</t>
  </si>
  <si>
    <t>new i/y=</t>
  </si>
  <si>
    <t>lifetime totals</t>
  </si>
  <si>
    <t>total pmt=</t>
  </si>
  <si>
    <t>best</t>
  </si>
  <si>
    <t>:sign5</t>
  </si>
  <si>
    <t>type of balance</t>
  </si>
  <si>
    <t>balance, 12/31/2525</t>
  </si>
  <si>
    <t>balance, 12/31/2526</t>
  </si>
  <si>
    <t>correct response</t>
  </si>
  <si>
    <t>balance in account immediately after expense 1 is paid (given target ror)</t>
  </si>
  <si>
    <t>number of payments</t>
  </si>
  <si>
    <t>wrong</t>
  </si>
  <si>
    <t>: N3</t>
  </si>
  <si>
    <t>coupon rate</t>
  </si>
  <si>
    <t>yield-to-maturity</t>
  </si>
  <si>
    <t>change in price from par</t>
  </si>
  <si>
    <t>earnings per share</t>
  </si>
  <si>
    <t>FA16 Find ROR given p/b and roe</t>
  </si>
  <si>
    <t>: PBx</t>
  </si>
  <si>
    <t>: PBz</t>
  </si>
  <si>
    <t>: RORx</t>
  </si>
  <si>
    <t>: RORz</t>
  </si>
  <si>
    <t>FA1!$B$855</t>
  </si>
  <si>
    <t>FA17 Find ROE for Z that gives same ROR as X</t>
  </si>
  <si>
    <t>: ROEz</t>
  </si>
  <si>
    <t>FA1!$B$869</t>
  </si>
  <si>
    <t>sales : turnover</t>
  </si>
  <si>
    <t>FA1!$B$890</t>
  </si>
  <si>
    <t>return @ minimum risk</t>
  </si>
  <si>
    <t>Multiple setup (ER12)</t>
  </si>
  <si>
    <t>TRUE X:Y</t>
  </si>
  <si>
    <t>FALSE X:Y</t>
  </si>
  <si>
    <t>PortTheory!$B$549</t>
  </si>
  <si>
    <t>years in future for liquidation</t>
  </si>
  <si>
    <t>months from last deposit to liquidation</t>
  </si>
  <si>
    <t>fv initial endowment</t>
  </si>
  <si>
    <t xml:space="preserve">profit </t>
  </si>
  <si>
    <t>rate of return</t>
  </si>
  <si>
    <t>stockholders equity</t>
  </si>
  <si>
    <t>share outstanding</t>
  </si>
  <si>
    <t>price-to-book ratio for company</t>
  </si>
  <si>
    <t>totals including previous payment</t>
  </si>
  <si>
    <t>prin out=</t>
  </si>
  <si>
    <t>buying or selling key stocks in the SP500 index</t>
  </si>
  <si>
    <t>taking long or short positions on either SP500 options or futures contracts</t>
  </si>
  <si>
    <t>EITHER perpetuity payment OR deposit</t>
  </si>
  <si>
    <t>each deposit if given perpetuity payment</t>
  </si>
  <si>
    <t>: USD equivalence of currency 1</t>
  </si>
  <si>
    <t>: USD equivalence of currency 2</t>
  </si>
  <si>
    <t>currency 1 change</t>
  </si>
  <si>
    <t>currency 2 change</t>
  </si>
  <si>
    <t>Number of coupons</t>
  </si>
  <si>
    <t>yield to maturity, original</t>
  </si>
  <si>
    <t>price, original</t>
  </si>
  <si>
    <t>expense 2</t>
  </si>
  <si>
    <t>year 2 CF</t>
  </si>
  <si>
    <t>A-false :</t>
  </si>
  <si>
    <t>B-false :</t>
  </si>
  <si>
    <t>C-false :</t>
  </si>
  <si>
    <t>Options!$B$72</t>
  </si>
  <si>
    <t xml:space="preserve"> : A's new price</t>
  </si>
  <si>
    <t xml:space="preserve"> : Z's term (years)</t>
  </si>
  <si>
    <t>FA7  find ending stock price given ror and dividend and initial price</t>
  </si>
  <si>
    <t>FA1!$B$321</t>
  </si>
  <si>
    <t>CB9  Unequal life and find the EACF</t>
  </si>
  <si>
    <t>CapBud!$B$180</t>
  </si>
  <si>
    <t xml:space="preserve">wrongs : </t>
  </si>
  <si>
    <t>: eps</t>
  </si>
  <si>
    <t>: net margin</t>
  </si>
  <si>
    <t>the NYSE is a non-profit government sponsored organization</t>
  </si>
  <si>
    <t xml:space="preserve">ROR4  Find OR(cumulative, geometric average) ROR </t>
  </si>
  <si>
    <t>Conceptual!$B$1474</t>
  </si>
  <si>
    <t>TR29  Describe the risk premium for these idiosyncratic risk sources</t>
  </si>
  <si>
    <t>fv target if given perpetuity payment</t>
  </si>
  <si>
    <t>dividends, 2526</t>
  </si>
  <si>
    <t>Stockholders Equity, 12/31/2526</t>
  </si>
  <si>
    <t>: payout ratio</t>
  </si>
  <si>
    <t>: discount rate</t>
  </si>
  <si>
    <t>: dividend (0)</t>
  </si>
  <si>
    <t>: dividend (1)</t>
  </si>
  <si>
    <t>: foreign inflation</t>
  </si>
  <si>
    <t>true D</t>
  </si>
  <si>
    <t>false D</t>
  </si>
  <si>
    <t>true E</t>
  </si>
  <si>
    <t>the nature of the repayment promise is the distinguishing criterion when categorizing markets as either credit market or equity market</t>
  </si>
  <si>
    <t>false E</t>
  </si>
  <si>
    <t>standard deviation @ minimum risk</t>
  </si>
  <si>
    <t>work-out to assure means differ by at least 4%</t>
  </si>
  <si>
    <t>buy</t>
  </si>
  <si>
    <t>: capital expenditure</t>
  </si>
  <si>
    <t>money market future value</t>
  </si>
  <si>
    <t>cost(0)</t>
  </si>
  <si>
    <t>option price</t>
  </si>
  <si>
    <t>Sustainable Growth and Changing p/e</t>
  </si>
  <si>
    <t>must invest in small capitalization stocks with high dividend yields</t>
  </si>
  <si>
    <t>Raider management may be repairing a principal-agent problem by transferring wealth from Raider to Target shareholders.</t>
  </si>
  <si>
    <t>FA1!$F$169</t>
  </si>
  <si>
    <t>strike</t>
  </si>
  <si>
    <t>put payoff</t>
  </si>
  <si>
    <t>terminal wealth</t>
  </si>
  <si>
    <t>rubles</t>
  </si>
  <si>
    <t>Alternative A</t>
  </si>
  <si>
    <t>Semi-Annual Compounding</t>
  </si>
  <si>
    <t>principal</t>
  </si>
  <si>
    <t>loan term</t>
  </si>
  <si>
    <t xml:space="preserve">interest rate </t>
  </si>
  <si>
    <t>discount period for Z</t>
  </si>
  <si>
    <t>net from Z</t>
  </si>
  <si>
    <t>gross product cost from A</t>
  </si>
  <si>
    <t>gross product cost from Z</t>
  </si>
  <si>
    <t>pv full price</t>
  </si>
  <si>
    <t>pv discount price</t>
  </si>
  <si>
    <t>Forecast variables</t>
  </si>
  <si>
    <t>New Retained Earnings, 2526</t>
  </si>
  <si>
    <t>mask20</t>
  </si>
  <si>
    <t>mask40</t>
  </si>
  <si>
    <t>mask50</t>
  </si>
  <si>
    <t>mask100</t>
  </si>
  <si>
    <t>book value per share</t>
  </si>
  <si>
    <t>market cap</t>
  </si>
  <si>
    <t>units per contract</t>
  </si>
  <si>
    <t>position</t>
  </si>
  <si>
    <t>margin requirement</t>
  </si>
  <si>
    <t>set-ups for a word problem on PE ratios</t>
  </si>
  <si>
    <t>P/E for A</t>
  </si>
  <si>
    <t>P/E for B</t>
  </si>
  <si>
    <t>price A=</t>
  </si>
  <si>
    <t>price B=</t>
  </si>
  <si>
    <t>earnings A=</t>
  </si>
  <si>
    <t>earnings B=</t>
  </si>
  <si>
    <t>: cash flow 1</t>
  </si>
  <si>
    <t>: cash flow 2</t>
  </si>
  <si>
    <t>: cash flow 3</t>
  </si>
  <si>
    <t>: npv</t>
  </si>
  <si>
    <t>: fv of what is left over</t>
  </si>
  <si>
    <t>:  years to maturity</t>
  </si>
  <si>
    <t>TR30  T/F Sell low risk, buy high risk, reduce total risk</t>
  </si>
  <si>
    <t>T:</t>
  </si>
  <si>
    <t>F:</t>
  </si>
  <si>
    <t>Selling some of your low-risk security and buying a high-risk security may sometimes increase total portfolio risk (standard deviation).</t>
  </si>
  <si>
    <t>The bank sector owns more financial assets than any other financial institution.</t>
  </si>
  <si>
    <t>The bank sector owns more equities than any other institutional sector on the buy-side.</t>
  </si>
  <si>
    <t>: equilibrium currency 1 per currency 2</t>
  </si>
  <si>
    <t>: equilibrium currency 1 per currency 3</t>
  </si>
  <si>
    <t>true wrt latter</t>
  </si>
  <si>
    <t>false wrt latter</t>
  </si>
  <si>
    <t>Possible companies</t>
  </si>
  <si>
    <t>p/e ratio, 12/31/2526</t>
  </si>
  <si>
    <t>ending shareprice</t>
  </si>
  <si>
    <t>payoff</t>
  </si>
  <si>
    <t>debt-to-equity, 12/31/2526</t>
  </si>
  <si>
    <t>TK1  Find price that generates a buy according to a (1,20)-day moving average rule</t>
  </si>
  <si>
    <t>stocks!$B$92</t>
  </si>
  <si>
    <t>TK2  Find price that generates a buy according to a (1,N)-day moving average rule</t>
  </si>
  <si>
    <t>EFN5a  Find EFN from simple components (numerical answer)</t>
  </si>
  <si>
    <t>Multiple setup (EFN5a)</t>
  </si>
  <si>
    <t>FA1!$B$640</t>
  </si>
  <si>
    <t>FA6  Find %change market cap given $change in share price</t>
  </si>
  <si>
    <t>FA1!$B$308</t>
  </si>
  <si>
    <t>the efficient markets hypothesis</t>
  </si>
  <si>
    <t>applied investment theory</t>
  </si>
  <si>
    <t>modern portfolio theory</t>
  </si>
  <si>
    <t>post-shock dividend growth rate</t>
  </si>
  <si>
    <t>post-shock beta</t>
  </si>
  <si>
    <t># units</t>
  </si>
  <si>
    <t>initial futures price</t>
  </si>
  <si>
    <t>ending  futures price</t>
  </si>
  <si>
    <t>margin in USD</t>
  </si>
  <si>
    <t>profit on position</t>
  </si>
  <si>
    <t>calendar and stock market data</t>
  </si>
  <si>
    <t>DS10 find arbitrage profit on a call option mispricing</t>
  </si>
  <si>
    <t>Multiple  setup (DS1)</t>
  </si>
  <si>
    <t>SV2b  Find AND(intrinsic value, inference) given sustainable growth and return-on-equity</t>
  </si>
  <si>
    <t>stocks!$B$456</t>
  </si>
  <si>
    <t>ST23  Find preferred ROR given dividend and price</t>
  </si>
  <si>
    <t>stocks!$B$468</t>
  </si>
  <si>
    <t>DS4am  Find ROR on put insurance position given %change shareprice and option OR(time value,price)</t>
  </si>
  <si>
    <t>Multiple setup (DS4)</t>
  </si>
  <si>
    <t>Options!$B$361</t>
  </si>
  <si>
    <t>DS4bm  Find worst-case outcome on put insurance position given option OR(time value, price)</t>
  </si>
  <si>
    <t>Options!$F$361</t>
  </si>
  <si>
    <t>DS4cm  Find shareprice such that ROR on put insurance position is x% given OR(time value, option price)</t>
  </si>
  <si>
    <t>Options!$J$361</t>
  </si>
  <si>
    <t>DS20 put portfolio insurance</t>
  </si>
  <si>
    <t>DS21 put portfolio insurance</t>
  </si>
  <si>
    <t>: domestic inflation</t>
  </si>
  <si>
    <t>AP11a  Price for risk</t>
  </si>
  <si>
    <t>: incremental risk</t>
  </si>
  <si>
    <t>: incremental risk premium</t>
  </si>
  <si>
    <t>Multiple setup (PV15m)</t>
  </si>
  <si>
    <t>frequency of 1</t>
  </si>
  <si>
    <t>frequency of 2</t>
  </si>
  <si>
    <t>GeneralPV!$B$741</t>
  </si>
  <si>
    <t>PV15am Find the principal</t>
  </si>
  <si>
    <t>GeneralPV!$F$741</t>
  </si>
  <si>
    <t>PV15bm Find the lifetime interest</t>
  </si>
  <si>
    <t>σ treats extreme upside and downside returns as having the same risk even though investors perceive upside returns as good opportunities</t>
  </si>
  <si>
    <t>Options!$J$231</t>
  </si>
  <si>
    <t>BD20  Find ytm next year that gives 0% 1-year ror</t>
  </si>
  <si>
    <t>: ytm 1</t>
  </si>
  <si>
    <t>An advantage of the sole proprietorship is that they do not generally offer easy transferability of ownership.</t>
  </si>
  <si>
    <t>franc</t>
  </si>
  <si>
    <t>NPV|lowirr</t>
  </si>
  <si>
    <t>NPV|hiirr</t>
  </si>
  <si>
    <t>LumpSum!$B$755</t>
  </si>
  <si>
    <t>MC5am  Find present value for 2 mixed cash flows</t>
  </si>
  <si>
    <t>Multiple setup (MC5)</t>
  </si>
  <si>
    <t>LumpSum!$B$771</t>
  </si>
  <si>
    <t>MC5bm  Find interim balance for a mixed 2 cash flow stream</t>
  </si>
  <si>
    <t>LumpSum!$F$771</t>
  </si>
  <si>
    <t>MC5cm  Find the shortfall given 2 irregular and different future expenses, target r and actual r</t>
  </si>
  <si>
    <t>LumpSum!$J$771</t>
  </si>
  <si>
    <t>price-to-book ratio</t>
  </si>
  <si>
    <t>market capitalization</t>
  </si>
  <si>
    <t>price-to-earnings ratio</t>
  </si>
  <si>
    <t>: first loan</t>
  </si>
  <si>
    <t>: first loan's rate</t>
  </si>
  <si>
    <t>BA7  Find the ROE given inputs to Dupont formula</t>
  </si>
  <si>
    <t>FA1!$B$406</t>
  </si>
  <si>
    <t>BA3am  how much does venture capitalist receive in a one-period model</t>
  </si>
  <si>
    <t>FA1!$B$431</t>
  </si>
  <si>
    <t>BA3bm  What is repurchase price in a one-period venture capitalist model</t>
  </si>
  <si>
    <t>FA1!$F$26</t>
  </si>
  <si>
    <t>Stockholders Equity</t>
  </si>
  <si>
    <t>Balance Sheet, 12/31/2525</t>
  </si>
  <si>
    <t>all costs</t>
  </si>
  <si>
    <t>Income, 1/1 - 12/31/2525</t>
  </si>
  <si>
    <t>internal growth rate</t>
  </si>
  <si>
    <t>: change in assets</t>
  </si>
  <si>
    <t>: source/use</t>
  </si>
  <si>
    <t>: change in spontaneous liabilities</t>
  </si>
  <si>
    <t>: surplus/deficit</t>
  </si>
  <si>
    <t>TeacherQuestions!$B$206</t>
  </si>
  <si>
    <t>BondApps!$J$82</t>
  </si>
  <si>
    <t>BD3dm  Find ROR on seasoned bond investment given you later sell at a different ytm</t>
  </si>
  <si>
    <t>BondApps!$N$82</t>
  </si>
  <si>
    <t>BD6  Partition the total return</t>
  </si>
  <si>
    <t>BondApps!$B$97</t>
  </si>
  <si>
    <t>payback in months</t>
  </si>
  <si>
    <t>C-F:</t>
  </si>
  <si>
    <t>daily volume averages $500 billion and about 10,000 securities are listed</t>
  </si>
  <si>
    <t>D-T:</t>
  </si>
  <si>
    <t>companies must request and pay for their securities to be listed</t>
  </si>
  <si>
    <t>D-F:</t>
  </si>
  <si>
    <t>FF17  Match this father of finance with his contribution (Malkiel, Markowitz, Graham)</t>
  </si>
  <si>
    <t>Conceptual!$B$584</t>
  </si>
  <si>
    <t>CY11b  Find actual r given target FV, N, target r, and actual FV</t>
  </si>
  <si>
    <t>LumpSum!$F$518</t>
  </si>
  <si>
    <t>Conceptual!$B$185</t>
  </si>
  <si>
    <t>true1 :</t>
  </si>
  <si>
    <t>true2 :</t>
  </si>
  <si>
    <t>false1 :</t>
  </si>
  <si>
    <t>false2 :</t>
  </si>
  <si>
    <t>x% of original principal</t>
  </si>
  <si>
    <t>npmts remaining such that x% remains</t>
  </si>
  <si>
    <t>the balance sheet for an asset-backed issuer has assets such as asset-backed securities on the left-hand-side and liabilities such as mortgages on the right-hand-side</t>
  </si>
  <si>
    <t>CY6d  Find total interest-on-interest with intraperiod compounding</t>
  </si>
  <si>
    <t>LumpSum!$B$486</t>
  </si>
  <si>
    <t>obs 1</t>
  </si>
  <si>
    <t>obs 2</t>
  </si>
  <si>
    <t>obs 3</t>
  </si>
  <si>
    <t>obs 4</t>
  </si>
  <si>
    <t>obs 5</t>
  </si>
  <si>
    <t>: N-years</t>
  </si>
  <si>
    <t>BondApps!$B$148</t>
  </si>
  <si>
    <t>BD9  Find lifetime interest for a bond</t>
  </si>
  <si>
    <t>CY15a  Find FV given today’s interest with intraperiod compounding</t>
  </si>
  <si>
    <t xml:space="preserve"> Japan plus the 11 countries adopting the Euro have bond markets roughly one-half the size of the USA bond market</t>
  </si>
  <si>
    <t>EFN4  Find EFN given constant PP&amp;E</t>
  </si>
  <si>
    <t>FA1!$B$687</t>
  </si>
  <si>
    <t>EFN6 Find next year's Stockholders' equity</t>
  </si>
  <si>
    <t>CR1a  Which sale gives the most USD revenue</t>
  </si>
  <si>
    <t>Multiple setup (CR1a)</t>
  </si>
  <si>
    <t>Intntl!$B$41</t>
  </si>
  <si>
    <t>: asset turnover</t>
  </si>
  <si>
    <t>: se(t-1)</t>
  </si>
  <si>
    <t>: net income(t)</t>
  </si>
  <si>
    <t>price-to-book equity 2526</t>
  </si>
  <si>
    <t>new retained earnings (0)</t>
  </si>
  <si>
    <t>%return</t>
  </si>
  <si>
    <t>B-true:</t>
  </si>
  <si>
    <t>Conceptual!$B$95</t>
  </si>
  <si>
    <t xml:space="preserve"> : BP change in market risk premium</t>
  </si>
  <si>
    <t>change relative to USD</t>
  </si>
  <si>
    <t>divisor</t>
  </si>
  <si>
    <t>point change in DJIA</t>
  </si>
  <si>
    <t>div(0)</t>
  </si>
  <si>
    <t>div(-N)</t>
  </si>
  <si>
    <t>FV last year</t>
  </si>
  <si>
    <t>required USD revenue</t>
  </si>
  <si>
    <t>: Sales(2526)</t>
  </si>
  <si>
    <t>: target capital expenditures</t>
  </si>
  <si>
    <t>: expansion investment</t>
  </si>
  <si>
    <t>: replacement investment</t>
  </si>
  <si>
    <t>GeneralPV!$B$593</t>
  </si>
  <si>
    <t>GeneralPV!$F$593</t>
  </si>
  <si>
    <t>11am PV</t>
  </si>
  <si>
    <t>11bm actual ror</t>
  </si>
  <si>
    <t>10m PV</t>
  </si>
  <si>
    <t>10bm actual ror</t>
  </si>
  <si>
    <t>false C</t>
  </si>
  <si>
    <t>remaining principal at 1-x</t>
  </si>
  <si>
    <t>x share of original principal</t>
  </si>
  <si>
    <t>futures</t>
  </si>
  <si>
    <t>options</t>
  </si>
  <si>
    <t>#</t>
  </si>
  <si>
    <t>characteristic</t>
  </si>
  <si>
    <t>choice</t>
  </si>
  <si>
    <t>the standard deviation treats extreme upside returns as being less risky than downside returns because investors perceive upside returns as good opportunities</t>
  </si>
  <si>
    <t>(wrong)</t>
  </si>
  <si>
    <t>CY3a  Find APR given doubling period and intraperiod compounding</t>
  </si>
  <si>
    <t>Multiple setup (CY3)</t>
  </si>
  <si>
    <t>LumpSum!$B$636</t>
  </si>
  <si>
    <t>CY3b  Find EAR given doubling period and intraperiod compounding</t>
  </si>
  <si>
    <t>PR4  BigMac purchasing power parity, find intrinsic cross-rate</t>
  </si>
  <si>
    <t>: today's actual price in NC of one FC</t>
  </si>
  <si>
    <t>: numeraire currency</t>
  </si>
  <si>
    <t>: today's numeraire price of BigMac</t>
  </si>
  <si>
    <t>: BigMac parity price in NC of one FC</t>
  </si>
  <si>
    <t>: future movement of price in NC of one FC</t>
  </si>
  <si>
    <t>Intntl!$B$248</t>
  </si>
  <si>
    <t>Intntl!$F$248</t>
  </si>
  <si>
    <t>PR4a Find cross-rate</t>
  </si>
  <si>
    <t>PR4b Find cross-rate and make inference</t>
  </si>
  <si>
    <t>ST1b/ST1e/ST1h/ST1k  Find AND(intrinsic value, inference) given dividend(0) in simplest setting for growth model</t>
  </si>
  <si>
    <t>ST1c/ST1f/ST1i/ST1n  Find AND(%misvaluation, inference) given dividend(0) in simplest setting for growth model</t>
  </si>
  <si>
    <t>ST10 Comparison with peer group</t>
  </si>
  <si>
    <t>Intntl!$B$112</t>
  </si>
  <si>
    <t>worst case outcome</t>
  </si>
  <si>
    <t>npmts made such that x% remains</t>
  </si>
  <si>
    <t>company ROR</t>
  </si>
  <si>
    <t>: dividend</t>
  </si>
  <si>
    <t>: stock ROR</t>
  </si>
  <si>
    <t>: buy-and-ride ROR</t>
  </si>
  <si>
    <t>MC2b  Find FV in one year of 3 irregular and different monthly deposits</t>
  </si>
  <si>
    <t>LumpSum!$F$726</t>
  </si>
  <si>
    <t>MC3  Find today's PV of 3 irregular and different monthly future expenses</t>
  </si>
  <si>
    <t>LumpSum!$B$741</t>
  </si>
  <si>
    <t>FA1  Find change in net working capital and whether a source or use</t>
  </si>
  <si>
    <t>FA1!$B$200</t>
  </si>
  <si>
    <t>ER16  Find E(ROR) and risk after computing periodic ror</t>
  </si>
  <si>
    <t>: initial price</t>
  </si>
  <si>
    <t>: prob 1</t>
  </si>
  <si>
    <t>: prob 2</t>
  </si>
  <si>
    <t>: prob 0</t>
  </si>
  <si>
    <t>: price 1</t>
  </si>
  <si>
    <t>: price 2</t>
  </si>
  <si>
    <t>: ROR 1</t>
  </si>
  <si>
    <t>: ROR 2</t>
  </si>
  <si>
    <t>: E(ror)</t>
  </si>
  <si>
    <t>: risk</t>
  </si>
  <si>
    <t>: ROR 0</t>
  </si>
  <si>
    <t>PortTheory!$B$632</t>
  </si>
  <si>
    <t>ER2am  Find portfolio expected return given probabilities</t>
  </si>
  <si>
    <t>Multiple setup (ER2)</t>
  </si>
  <si>
    <t>PortTheory!$B$105</t>
  </si>
  <si>
    <t>: real rate</t>
  </si>
  <si>
    <t>LumpSum!$B$945</t>
  </si>
  <si>
    <t>LS25m  Multipart inflating house price</t>
  </si>
  <si>
    <t>LS25am  Find real rate</t>
  </si>
  <si>
    <t>LumpSum!$F$945</t>
  </si>
  <si>
    <t>LS25bm Find future house price</t>
  </si>
  <si>
    <r>
      <t>BA4bm  Find 2</t>
    </r>
    <r>
      <rPr>
        <b/>
        <i/>
        <vertAlign val="superscript"/>
        <sz val="12"/>
        <rFont val="Arial"/>
        <family val="2"/>
      </rPr>
      <t>nd</t>
    </r>
    <r>
      <rPr>
        <b/>
        <i/>
        <sz val="12"/>
        <rFont val="Arial"/>
        <family val="2"/>
      </rPr>
      <t xml:space="preserve"> year’s repurchase price in two-period venture capitalist model</t>
    </r>
  </si>
  <si>
    <t>FA1!$F$439</t>
  </si>
  <si>
    <t>Net cash flow:</t>
  </si>
  <si>
    <t>BA5  How much is net cash flow in a simple income statement</t>
  </si>
  <si>
    <t>FA1!$B$460</t>
  </si>
  <si>
    <t>FA1!$B$482</t>
  </si>
  <si>
    <t>FA1!$F$482</t>
  </si>
  <si>
    <r>
      <t>GR4  Find TA next year given g</t>
    </r>
    <r>
      <rPr>
        <b/>
        <i/>
        <vertAlign val="superscript"/>
        <sz val="12"/>
        <rFont val="Arial"/>
        <family val="2"/>
      </rPr>
      <t>internal</t>
    </r>
  </si>
  <si>
    <t>FA1!$B$502</t>
  </si>
  <si>
    <t>PortTheory!$J$830</t>
  </si>
  <si>
    <t>BE10c Find AND(Dividends, Sales) providing target ROR</t>
  </si>
  <si>
    <t>BondApps!$J$136</t>
  </si>
  <si>
    <r>
      <t>The</t>
    </r>
    <r>
      <rPr>
        <i/>
        <sz val="12"/>
        <rFont val="Arial"/>
        <family val="2"/>
      </rPr>
      <t xml:space="preserve"> Philadelphia</t>
    </r>
    <r>
      <rPr>
        <sz val="12"/>
        <rFont val="Arial"/>
        <family val="2"/>
      </rPr>
      <t xml:space="preserve"> </t>
    </r>
    <r>
      <rPr>
        <i/>
        <sz val="12"/>
        <rFont val="Arial"/>
        <family val="2"/>
      </rPr>
      <t>Stock Exchange (PHLX)</t>
    </r>
    <r>
      <rPr>
        <sz val="12"/>
        <rFont val="Arial"/>
        <family val="2"/>
      </rPr>
      <t xml:space="preserve"> was founded in 1790 and is the nation’s oldest.  The </t>
    </r>
    <r>
      <rPr>
        <i/>
        <sz val="12"/>
        <rFont val="Arial"/>
        <family val="2"/>
      </rPr>
      <t>PHLX</t>
    </r>
    <r>
      <rPr>
        <sz val="12"/>
        <rFont val="Arial"/>
        <family val="2"/>
      </rPr>
      <t xml:space="preserve"> has a strong market position trading 1,600 equity options, 19 sectors index options, and currency options and futures.</t>
    </r>
  </si>
  <si>
    <t>net from A</t>
  </si>
  <si>
    <t>discount period for A</t>
  </si>
  <si>
    <t>TQ10 Find bond capital gain</t>
  </si>
  <si>
    <t>: coupon</t>
  </si>
  <si>
    <t>: # coupons</t>
  </si>
  <si>
    <t>: price(+1)</t>
  </si>
  <si>
    <t>TeacherQuestions!$B$297</t>
  </si>
  <si>
    <t>MC8am  Find ROR given an investments mixed monthly stream and target ROR</t>
  </si>
  <si>
    <t>Multiple setup (MC8)</t>
  </si>
  <si>
    <t>LumpSum!$B$817</t>
  </si>
  <si>
    <t>MC8bm  Find effect on ROR of an investments higher than expected cost given the mixed monthly stream, target offer, and counteroffer</t>
  </si>
  <si>
    <t>LumpSum!$F$817</t>
  </si>
  <si>
    <t>: new retained earnings</t>
  </si>
  <si>
    <t>npmts remaining such that x remains</t>
  </si>
  <si>
    <t>change</t>
  </si>
  <si>
    <t>ST20  Find intrinsic value with zero dividends until time N, and flat thereafter</t>
  </si>
  <si>
    <t>stocks!$B$430</t>
  </si>
  <si>
    <t>company A probably is undervalued relative to company B</t>
  </si>
  <si>
    <t>most trades on the NYSE execute by open outcry whereas on NASDAQ they execute electronically</t>
  </si>
  <si>
    <t>BA13 Find stock price next year given asset turnover, net margin, and changing p/b</t>
  </si>
  <si>
    <t>BA17 Find book value next year given asset turnover and net margin</t>
  </si>
  <si>
    <t>: Net income</t>
  </si>
  <si>
    <t>: Book value, 2526</t>
  </si>
  <si>
    <t>FA1!$B$1021</t>
  </si>
  <si>
    <t>: eps, 2526</t>
  </si>
  <si>
    <t>With efficient markets no trading strategy consistently earns positive economic profits because no investor consistently finds new information offering an advantage for predicting expected rates of return.</t>
  </si>
  <si>
    <t>With efficient markets no trading strategy consistently earns positive economic profits because no investor consistently finds new information offering an advantage for predicting required rates of return.</t>
  </si>
  <si>
    <t>Conceptual!$B$1369</t>
  </si>
  <si>
    <t>FF27  Nuances of the EMH</t>
  </si>
  <si>
    <t>forced allocation to X</t>
  </si>
  <si>
    <t>forced portfolio standard deviation</t>
  </si>
  <si>
    <t>ROE</t>
  </si>
  <si>
    <t>sales/TA</t>
  </si>
  <si>
    <t>fvifa</t>
  </si>
  <si>
    <t>Interest rate</t>
  </si>
  <si>
    <t>Multiple setup (ER15)</t>
  </si>
  <si>
    <t>: avg risk</t>
  </si>
  <si>
    <t>: DB</t>
  </si>
  <si>
    <t>PortTheory!$B$598</t>
  </si>
  <si>
    <t>payback period</t>
  </si>
  <si>
    <t>: spot(0)</t>
  </si>
  <si>
    <t>CY16  Find N given periodic interest, long ago's PV, and r</t>
  </si>
  <si>
    <t>LumpSum!$B$576</t>
  </si>
  <si>
    <t>Multiple setup (DS2)</t>
  </si>
  <si>
    <t>Options!$B$307</t>
  </si>
  <si>
    <t>Raider management may be exploiting a principal-agent problem that allows them to use shareholder wealth for empire-building.</t>
  </si>
  <si>
    <t>TeacherQuestions!$B$222</t>
  </si>
  <si>
    <t>TQ2  Find Net equity issues</t>
  </si>
  <si>
    <t>TQ3 Partition capital expenditures</t>
  </si>
  <si>
    <t>TQ4  Contrast ROR and ROE given financial statements</t>
  </si>
  <si>
    <t>TQ5  Find EFN</t>
  </si>
  <si>
    <t>the payback period ignores the time value of money</t>
  </si>
  <si>
    <t>: sustainable growth rate</t>
  </si>
  <si>
    <t>deposit today to accumulate future house price</t>
  </si>
  <si>
    <t>sales(t)-to-assets(t-1)</t>
  </si>
  <si>
    <t>ER1bm  Find stddev given probabilities</t>
  </si>
  <si>
    <t>PortTheory!$F$87</t>
  </si>
  <si>
    <t>ER1cm  Find AND(return, stddev ) given probabilities</t>
  </si>
  <si>
    <t>PortTheory!$J$87</t>
  </si>
  <si>
    <t>balance midway through loan life</t>
  </si>
  <si>
    <t>interest during first half</t>
  </si>
  <si>
    <t>TK5  Find %change_price that generates a buy according to a (1,N)-day moving average rule</t>
  </si>
  <si>
    <t>: %change p(0)</t>
  </si>
  <si>
    <t>: new signal</t>
  </si>
  <si>
    <t>p(-1)</t>
  </si>
  <si>
    <t xml:space="preserve">: wrong </t>
  </si>
  <si>
    <t>TK5a percent change</t>
  </si>
  <si>
    <t>TK5b percent change and signal</t>
  </si>
  <si>
    <t>stocks!$B$525</t>
  </si>
  <si>
    <t>stocks!$F$525</t>
  </si>
  <si>
    <t>: inflation perpetual</t>
  </si>
  <si>
    <t>: inflation 1</t>
  </si>
  <si>
    <t>: inflation 2</t>
  </si>
  <si>
    <t>CapBud!$F$163</t>
  </si>
  <si>
    <t>Conceptual!$B$75</t>
  </si>
  <si>
    <t>: sales growth rate</t>
  </si>
  <si>
    <t>BD16  Find coupon rate</t>
  </si>
  <si>
    <t>: current yield</t>
  </si>
  <si>
    <t>BondApps!$B$263</t>
  </si>
  <si>
    <t>Conceptual!$B$433</t>
  </si>
  <si>
    <t>BS12  NYSE specialist</t>
  </si>
  <si>
    <t>Conceptual!$B$442</t>
  </si>
  <si>
    <t>BS13  NYSE legal organization</t>
  </si>
  <si>
    <t>calendar, stock market, and all publicly available data</t>
  </si>
  <si>
    <t>monthly withdrawal</t>
  </si>
  <si>
    <t>monthly rate</t>
  </si>
  <si>
    <t># of monthly deposits</t>
  </si>
  <si>
    <t>Original conditions</t>
  </si>
  <si>
    <t>Currency 1 changes relative to other currencies</t>
  </si>
  <si>
    <t>Multiple setup (PV3m)</t>
  </si>
  <si>
    <t>TR41: Loanable funds theory of interest and shocks</t>
  </si>
  <si>
    <t>Conceptual!$B$1732</t>
  </si>
  <si>
    <t>LS15  Find N given lifetime accumulated interest, long ago's PV, and r</t>
  </si>
  <si>
    <t>LumpSum!$B$339</t>
  </si>
  <si>
    <t>LS16  Find r given long ago's PV, today's FV and N</t>
  </si>
  <si>
    <t>LumpSum!$B$352</t>
  </si>
  <si>
    <t>diversification benefits at forced allocation</t>
  </si>
  <si>
    <t>diversification benefits at minrisk</t>
  </si>
  <si>
    <t>rupees</t>
  </si>
  <si>
    <t>Combination lists</t>
  </si>
  <si>
    <t>TwoFromFive</t>
  </si>
  <si>
    <t>the annual average rate of return over the past 70 years has been higher for long-term government securities than for large company stocks</t>
  </si>
  <si>
    <t xml:space="preserve"> growth rate</t>
  </si>
  <si>
    <t>Multiple setup (CY15)</t>
  </si>
  <si>
    <t>LumpSum!$B$501</t>
  </si>
  <si>
    <t>CY15b  Find PV given today’s interest with intraperiod compounding</t>
  </si>
  <si>
    <t>payment</t>
  </si>
  <si>
    <t>npmts remaining such that half principal remains</t>
  </si>
  <si>
    <t>Conceptual!$B$1357</t>
  </si>
  <si>
    <t>: currency 1</t>
  </si>
  <si>
    <t>: currency 2</t>
  </si>
  <si>
    <t>: currency 1 per USD</t>
  </si>
  <si>
    <t>: currency 2 per USD</t>
  </si>
  <si>
    <t>stock B beta</t>
  </si>
  <si>
    <t>stock A std dev</t>
  </si>
  <si>
    <t>stock B std dev</t>
  </si>
  <si>
    <t>: fees :</t>
  </si>
  <si>
    <t>FA20  Contrast ROR and ROE given changing PB</t>
  </si>
  <si>
    <t>: price-to-book equity 2526</t>
  </si>
  <si>
    <t>FA1!$B$1056</t>
  </si>
  <si>
    <t>FA20a  For changing P/B find AND(ROR,ROE)</t>
  </si>
  <si>
    <t>FA1!$F$1056</t>
  </si>
  <si>
    <t>FA20b  For changing P/B find ROR</t>
  </si>
  <si>
    <t>BS5  What is a mutual fund family</t>
  </si>
  <si>
    <t>FF6  What is a basis point</t>
  </si>
  <si>
    <t>Conceptual!$B$538</t>
  </si>
  <si>
    <t>price-to-book ratio for peer group</t>
  </si>
  <si>
    <t>MC13 Find shortfall for second bill given OR(quarterly,monthly) compounding</t>
  </si>
  <si>
    <t>npmts made such that half principal remains</t>
  </si>
  <si>
    <t>half of original principal</t>
  </si>
  <si>
    <t>LumpSum!$G$669</t>
  </si>
  <si>
    <t>LumpSum!$K$669</t>
  </si>
  <si>
    <t>With the firm commitment contract an investment banker buys the company shares at a fixed price, resells the shares through the IPO, and the company bears all the risk of adverse price movements</t>
  </si>
  <si>
    <t>3 correct:</t>
  </si>
  <si>
    <t>the discount rate is the periodic percentage return subtracted from the future cash flow for computing present value</t>
  </si>
  <si>
    <t xml:space="preserve">ST25 Preferred stock </t>
  </si>
  <si>
    <t>stocks!$B$497</t>
  </si>
  <si>
    <t>the interest rate probably is greater on CCC corporate bonds than on AAA corporate bonds</t>
  </si>
  <si>
    <t>the interest rate probably is greater on AAA corporate bonds than on CCC corporate bonds</t>
  </si>
  <si>
    <t>BS20  Asset allocation attributes</t>
  </si>
  <si>
    <t>Conceptual!$B$664</t>
  </si>
  <si>
    <t>Businesses typically send money to stakeholders such as employees and suppliers in exchange for goods and services.</t>
  </si>
  <si>
    <t>ROR for the investment horizon</t>
  </si>
  <si>
    <t>BS23  Initial public offering, 2 of 3 statements</t>
  </si>
  <si>
    <t>Conceptual!$B$415</t>
  </si>
  <si>
    <t>%return Alpha</t>
  </si>
  <si>
    <t>%return Zed</t>
  </si>
  <si>
    <t xml:space="preserve"> : CAPM return</t>
  </si>
  <si>
    <t xml:space="preserve"> : current period's market return</t>
  </si>
  <si>
    <t>: CF2</t>
  </si>
  <si>
    <t>: N2</t>
  </si>
  <si>
    <t>: PV</t>
  </si>
  <si>
    <t>: actual rate</t>
  </si>
  <si>
    <t>: difference</t>
  </si>
  <si>
    <t>Initial settings</t>
  </si>
  <si>
    <t>new ytm</t>
  </si>
  <si>
    <t>new price</t>
  </si>
  <si>
    <t>p/e</t>
  </si>
  <si>
    <t>new price today</t>
  </si>
  <si>
    <t>coupon payment</t>
  </si>
  <si>
    <t>new yield to maturity today</t>
  </si>
  <si>
    <t>AT:</t>
  </si>
  <si>
    <t>AF:</t>
  </si>
  <si>
    <t>When the interest rate doubles then the total interest more than doubles.</t>
  </si>
  <si>
    <t>BT:</t>
  </si>
  <si>
    <t>BF:</t>
  </si>
  <si>
    <t>CT:</t>
  </si>
  <si>
    <t>CF:</t>
  </si>
  <si>
    <t>When the term doubles then the total interest more than doubles.</t>
  </si>
  <si>
    <t>When the beginning wealth doubles then the total interest exactly doubles.</t>
  </si>
  <si>
    <t>PortTheory!$N$168</t>
  </si>
  <si>
    <t>BD14  Find selling price after N coupons, constant ytm</t>
  </si>
  <si>
    <t>: horizon</t>
  </si>
  <si>
    <t>: price(+Horizon)</t>
  </si>
  <si>
    <t>BondApps!$B$230</t>
  </si>
  <si>
    <t>percent misvaluation</t>
  </si>
  <si>
    <t>Bahrain</t>
  </si>
  <si>
    <t>BE9 Target EBIT AND(sales revenue, variable costs)</t>
  </si>
  <si>
    <t>PortTheory!$B$807</t>
  </si>
  <si>
    <t>GeneralPV!$B$131</t>
  </si>
  <si>
    <t>FV6  Given an initial endowment and later deposit stream, find FV</t>
  </si>
  <si>
    <t>an asset-backed security represents a pool of many loans that are all very different types of loans</t>
  </si>
  <si>
    <t>the value of outstanding asset-backed securities has grown from about $35 billion in 1985 to about $2 trillion now</t>
  </si>
  <si>
    <t>: wX</t>
  </si>
  <si>
    <t>: wY</t>
  </si>
  <si>
    <t>: wZ</t>
  </si>
  <si>
    <t>: price</t>
  </si>
  <si>
    <t>InvenCPdays</t>
  </si>
  <si>
    <t>Inventory, original</t>
  </si>
  <si>
    <t>TR21 Is expensing better than depreciating a capital expenditure?</t>
  </si>
  <si>
    <t>CapBud!$G$195</t>
  </si>
  <si>
    <t>Conceptual!$B$1262</t>
  </si>
  <si>
    <t>the balance sheet for an asset-backed issuer has assets such as mortgages on the left-hand-side and liabilities such as asset-backed securities on the right-hand-side</t>
  </si>
  <si>
    <t>AP6a  Find intrinsic value from CAPM and dividend growth model given simple setup</t>
  </si>
  <si>
    <t>Multiple setup (AP6)</t>
  </si>
  <si>
    <t>PortTheory!$B$317</t>
  </si>
  <si>
    <t>AP6b  Find intrinsic value and make inference from CAPM and dividend growth model given simple setup</t>
  </si>
  <si>
    <t>PortTheory!$F$317</t>
  </si>
  <si>
    <t>AP8  Find change in intrinsic value with shock to market risk premium given real rate, inflation premium, market premium, and company beta and growth rate</t>
  </si>
  <si>
    <t>: actual surplus</t>
  </si>
  <si>
    <t>: actual FV</t>
  </si>
  <si>
    <t>: actual APR</t>
  </si>
  <si>
    <t>: target APR</t>
  </si>
  <si>
    <t>FV19  Find actual ROR given target FV, target ROR, CF, and surprise surplus</t>
  </si>
  <si>
    <t>GeneralPV!$B$724</t>
  </si>
  <si>
    <t>MR2bm  Find return for minimum risk portfolio given returns, risks and correlation</t>
  </si>
  <si>
    <t>PortTheory!$F$168</t>
  </si>
  <si>
    <t>MR2cm  Find stddev for minimum risk portfolio given returns, risks and correlation</t>
  </si>
  <si>
    <t>PortTheory!$J$168</t>
  </si>
  <si>
    <t>stocks!$J$238</t>
  </si>
  <si>
    <t>Raider management may perceive that the acquisition will lead to increased costs and decreased sales.</t>
  </si>
  <si>
    <t>FA1!$B$791</t>
  </si>
  <si>
    <t>: foreign currency's movement relative to domestic</t>
  </si>
  <si>
    <t>risk premium</t>
  </si>
  <si>
    <t>standard deviation for X</t>
  </si>
  <si>
    <t>standard deviation for Y</t>
  </si>
  <si>
    <t>allocation of X</t>
  </si>
  <si>
    <t>so because the insurance strategy always results in better outcomes the insurance strategy dominates the pure-stock strategy.</t>
  </si>
  <si>
    <t>Conceptual!$B$1406</t>
  </si>
  <si>
    <t>TR26 (T/F) Call option portfolio insurance and dominance</t>
  </si>
  <si>
    <t>expected rate of return</t>
  </si>
  <si>
    <t>BD21  Find percentage change in price given a shock to ytm for bond just issued at par</t>
  </si>
  <si>
    <t>: price(0) [should equal par]</t>
  </si>
  <si>
    <t>BS31  Common anti-takeover measures</t>
  </si>
  <si>
    <t>DS8  Straddle description of outcomes</t>
  </si>
  <si>
    <t>overvalued shareprice</t>
  </si>
  <si>
    <t>undervalued shareprice</t>
  </si>
  <si>
    <t>p/e ratio, constant</t>
  </si>
  <si>
    <t>FA1!$B$26</t>
  </si>
  <si>
    <t>sales growth rate</t>
  </si>
  <si>
    <t>Net income, 2525</t>
  </si>
  <si>
    <t>annual ror</t>
  </si>
  <si>
    <r>
      <t>GR3a  Find shareholder ROR given changing p/e and g</t>
    </r>
    <r>
      <rPr>
        <b/>
        <i/>
        <vertAlign val="superscript"/>
        <sz val="12"/>
        <rFont val="Arial"/>
        <family val="2"/>
      </rPr>
      <t>internal</t>
    </r>
  </si>
  <si>
    <t>FA1!$B$571</t>
  </si>
  <si>
    <r>
      <t>GR3b  Find shareholder ROR given changing p/e and g</t>
    </r>
    <r>
      <rPr>
        <b/>
        <i/>
        <vertAlign val="superscript"/>
        <sz val="12"/>
        <rFont val="Arial"/>
        <family val="2"/>
      </rPr>
      <t>sustainable</t>
    </r>
  </si>
  <si>
    <t>PortTheory!$F$46</t>
  </si>
  <si>
    <t>AP11b  Price for more risk</t>
  </si>
  <si>
    <t>AP12  Find allocation in OR(risk-free asset, market portfolio) providing target return</t>
  </si>
  <si>
    <t>: target ror</t>
  </si>
  <si>
    <t>: allocation in Rf that gets the target</t>
  </si>
  <si>
    <t>: switch</t>
  </si>
  <si>
    <t>PortTheory!$B$646</t>
  </si>
  <si>
    <t>MC10  Find annual ROR given today's PV and 3 irregular and different monthly cash flows</t>
  </si>
  <si>
    <t>AP14  Find allocation in OR(risk-free asset, market portfolio) providing target risk premium</t>
  </si>
  <si>
    <t>PortTheory!$B$676</t>
  </si>
  <si>
    <t>FA1!$F$736</t>
  </si>
  <si>
    <t>Options!$B$40</t>
  </si>
  <si>
    <t>Options!$B$48</t>
  </si>
  <si>
    <t>: today's foreign price of BigMac</t>
  </si>
  <si>
    <t>: next year's domestic price of BigMac</t>
  </si>
  <si>
    <t>: next year's foreign price of BigMac</t>
  </si>
  <si>
    <t>: personal discount rate</t>
  </si>
  <si>
    <t>correct choices</t>
  </si>
  <si>
    <t>company A probably is overvalued relative to company B</t>
  </si>
  <si>
    <t>2-day moving average</t>
  </si>
  <si>
    <t>GeneralPV!$B$681</t>
  </si>
  <si>
    <t>usually the dividend component is an accrued cash flow whereas the capital gains yield is a realized cash flow</t>
  </si>
  <si>
    <t>the dividend yield is more predictable and less risky than the capital gains yield</t>
  </si>
  <si>
    <t>the dividends are usually taxable in the year received whereas capital gains are tax deferred</t>
  </si>
  <si>
    <t>the dividends are usually tax exempt whereas capital gains are immediately taxable</t>
  </si>
  <si>
    <t>When the company never pays dividends then the ROE always equals the ROR.</t>
  </si>
  <si>
    <t>When the equity price-to-book ratio is constant at unity (1.0) then the ROR always equals the ROE.</t>
  </si>
  <si>
    <t>When the company dividend payout ratio is 100% then the ROR equals the ROE divided by the equity price-to-book ratio.</t>
  </si>
  <si>
    <t>LS4d  Find total interest-on-interest of a deposit long ago given annual compounding</t>
  </si>
  <si>
    <t>LumpSum!$B$157</t>
  </si>
  <si>
    <t>MB22  Contrast futures and options characteristics</t>
  </si>
  <si>
    <t>amount of first cash flows</t>
  </si>
  <si>
    <t>length in years of first cash flow stream</t>
  </si>
  <si>
    <t>SE, 2526</t>
  </si>
  <si>
    <t>equity book value, 2525</t>
  </si>
  <si>
    <t>: actual forward rate</t>
  </si>
  <si>
    <t>nominal riskfree rate</t>
  </si>
  <si>
    <t>: cost of options</t>
  </si>
  <si>
    <t>: strike</t>
  </si>
  <si>
    <t>: premium</t>
  </si>
  <si>
    <t>: exchange rate at expiry</t>
  </si>
  <si>
    <t>min risk w(A)</t>
  </si>
  <si>
    <t>industry average price-to-cash flow</t>
  </si>
  <si>
    <t>cash flow to shareholders</t>
  </si>
  <si>
    <t>year 1 CF</t>
  </si>
  <si>
    <t>FF9  Define market capitalization</t>
  </si>
  <si>
    <t>Conceptual!$B$334</t>
  </si>
  <si>
    <t xml:space="preserve"> : covariance</t>
  </si>
  <si>
    <t xml:space="preserve"> : beta X</t>
  </si>
  <si>
    <t>Variables and parameters</t>
  </si>
  <si>
    <t>FF18  Anomalies and the efficient market hypothesis</t>
  </si>
  <si>
    <t>TS2b  Save now &amp; withdraw later;  how much can you withdraw</t>
  </si>
  <si>
    <t>GeneralPV!$F$281</t>
  </si>
  <si>
    <t>TS2  Save now &amp; withdraw later;  how long can you withdraw OR Save now &amp; withdraw later;  how much can you withdraw</t>
  </si>
  <si>
    <t>Net income, 2526</t>
  </si>
  <si>
    <t>Sales, 2526</t>
  </si>
  <si>
    <t>PortTheory!$B$517</t>
  </si>
  <si>
    <t>ER10  Dominance or tradeoff with 2 types of risk</t>
  </si>
  <si>
    <t>ER11  Dominance or tradeoff with 1 type of risk</t>
  </si>
  <si>
    <t>PortTheory!$B$531</t>
  </si>
  <si>
    <t>cash shortfall for expense 2</t>
  </si>
  <si>
    <t>breakeven shareprice given in the money call</t>
  </si>
  <si>
    <t>: affordable payment</t>
  </si>
  <si>
    <t>: principal for a 3 year loan</t>
  </si>
  <si>
    <t>: principal for a 5 year loan</t>
  </si>
  <si>
    <t>portfolio standard deviation</t>
  </si>
  <si>
    <t>correlation coefficient</t>
  </si>
  <si>
    <t>Conceptual!$B$11</t>
  </si>
  <si>
    <t>lowest pv of cost</t>
  </si>
  <si>
    <t>price-to-book, 12/31/2526</t>
  </si>
  <si>
    <t>ER3  Find target weight given desired portfolio return and component returns</t>
  </si>
  <si>
    <t>PortTheory!$B$119</t>
  </si>
  <si>
    <t>flag1,2,3,4:</t>
  </si>
  <si>
    <t>Click here to read AlgorithmicDocumentGenerator instructions</t>
  </si>
  <si>
    <t>TQ? Run the wizard macro</t>
  </si>
  <si>
    <t>TeacherQuestions!$B$233</t>
  </si>
  <si>
    <t>TeacherQuestions!$B$237</t>
  </si>
  <si>
    <t>the FALSE decoy number, equals B231 plus or minus a deviation from 20%  to 25%; B232=B231*vMask20; B232=B231*OR(1.2, 1.2^-1, 1.25, 1.25^-1)</t>
  </si>
  <si>
    <t>the TRUE number drawn randomly from  4.51% and 18.50%, increments of .01%, one uniform draw from 1,400 choices.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</si>
</sst>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_);\(&quot;$&quot;#,##0\)"/>
    <numFmt numFmtId="6" formatCode="&quot;$&quot;#,##0_);[Red]\(&quot;$&quot;#,##0\)"/>
    <numFmt numFmtId="7" formatCode="&quot;$&quot;#,##0.00_);\(&quot;$&quot;#,##0.00\)"/>
    <numFmt numFmtId="8" formatCode="&quot;$&quot;#,##0.00_);[Red]\(&quot;$&quot;#,##0.00\)"/>
    <numFmt numFmtId="43" formatCode="_(* #,##0.00_);_(* \(#,##0.00\);_(* &quot;-&quot;??_);_(@_)"/>
    <numFmt numFmtId="164" formatCode="0.0%"/>
    <numFmt numFmtId="165" formatCode="_(* #,##0.0_);_(* \(#,##0.0\);_(* &quot;-&quot;??_);_(@_)"/>
    <numFmt numFmtId="166" formatCode="_(* #,##0_);_(* \(#,##0\);_(* &quot;-&quot;??_);_(@_)"/>
    <numFmt numFmtId="167" formatCode="&quot;$&quot;#,##0.0_);\(&quot;$&quot;#,##0.0\)"/>
    <numFmt numFmtId="168" formatCode="0.0"/>
    <numFmt numFmtId="169" formatCode="0.0000"/>
    <numFmt numFmtId="170" formatCode="0.000"/>
    <numFmt numFmtId="171" formatCode="0.00000"/>
    <numFmt numFmtId="172" formatCode="0.000000"/>
    <numFmt numFmtId="173" formatCode="0.000%"/>
    <numFmt numFmtId="174" formatCode="0.0000%"/>
    <numFmt numFmtId="175" formatCode="&quot;$&quot;#,##0.0000_);\(&quot;$&quot;#,##0.0000\)"/>
    <numFmt numFmtId="176" formatCode="0_);\(0\)"/>
    <numFmt numFmtId="177" formatCode="#\ ?/4"/>
    <numFmt numFmtId="178" formatCode="#,##0.0_);\(#,##0.0\)"/>
    <numFmt numFmtId="179" formatCode="&quot;$&quot;#,##0.00"/>
    <numFmt numFmtId="180" formatCode="#,##0.0"/>
    <numFmt numFmtId="181" formatCode="&quot;$&quot;#,##0"/>
    <numFmt numFmtId="182" formatCode="&quot;$&quot;#,##0.0000_);[Red]\(&quot;$&quot;#,##0.0000\)"/>
  </numFmts>
  <fonts count="23" x14ac:knownFonts="1">
    <font>
      <sz val="12"/>
      <name val="Times New Roman"/>
    </font>
    <font>
      <sz val="12"/>
      <name val="Times New Roman"/>
    </font>
    <font>
      <sz val="10"/>
      <name val="MS Sans Serif"/>
    </font>
    <font>
      <sz val="12"/>
      <name val="Symbol"/>
      <family val="1"/>
      <charset val="2"/>
    </font>
    <font>
      <sz val="12"/>
      <name val="Arial"/>
      <family val="2"/>
    </font>
    <font>
      <u/>
      <sz val="12"/>
      <name val="Arial"/>
      <family val="2"/>
    </font>
    <font>
      <sz val="12"/>
      <name val="Times New Roman"/>
    </font>
    <font>
      <i/>
      <sz val="12"/>
      <name val="Arial"/>
      <family val="2"/>
    </font>
    <font>
      <sz val="10"/>
      <name val="Arial"/>
      <family val="2"/>
    </font>
    <font>
      <u/>
      <sz val="10"/>
      <name val="Arial"/>
      <family val="2"/>
    </font>
    <font>
      <i/>
      <sz val="10"/>
      <name val="Arial"/>
      <family val="2"/>
    </font>
    <font>
      <sz val="10"/>
      <name val="Symbol"/>
      <family val="1"/>
      <charset val="2"/>
    </font>
    <font>
      <sz val="12"/>
      <name val="Arial"/>
    </font>
    <font>
      <u/>
      <sz val="12"/>
      <color indexed="12"/>
      <name val="Arial"/>
      <family val="2"/>
    </font>
    <font>
      <b/>
      <i/>
      <sz val="12"/>
      <name val="Arial"/>
      <family val="2"/>
    </font>
    <font>
      <b/>
      <sz val="12"/>
      <name val="Arial"/>
      <family val="2"/>
    </font>
    <font>
      <sz val="12"/>
      <name val="Times New Roman"/>
    </font>
    <font>
      <i/>
      <sz val="12"/>
      <name val="Symbol"/>
      <family val="1"/>
      <charset val="2"/>
    </font>
    <font>
      <b/>
      <i/>
      <sz val="12"/>
      <name val="Symbol"/>
      <family val="1"/>
      <charset val="2"/>
    </font>
    <font>
      <b/>
      <i/>
      <vertAlign val="superscript"/>
      <sz val="12"/>
      <name val="Arial"/>
      <family val="2"/>
    </font>
    <font>
      <i/>
      <u/>
      <sz val="12"/>
      <name val="Arial"/>
      <family val="2"/>
    </font>
    <font>
      <b/>
      <i/>
      <vertAlign val="subscript"/>
      <sz val="12"/>
      <name val="Arial"/>
      <family val="2"/>
    </font>
    <font>
      <b/>
      <i/>
      <u/>
      <sz val="12"/>
      <name val="Arial"/>
      <family val="2"/>
    </font>
  </fonts>
  <fills count="2">
    <fill>
      <patternFill patternType="none"/>
    </fill>
    <fill>
      <patternFill patternType="gray125"/>
    </fill>
  </fills>
  <borders count="10">
    <border>
      <left/>
      <right/>
      <top/>
      <bottom/>
      <diagonal/>
    </border>
    <border>
      <left/>
      <right/>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diagonal/>
    </border>
    <border>
      <left style="double">
        <color indexed="64"/>
      </left>
      <right/>
      <top/>
      <bottom style="double">
        <color indexed="64"/>
      </bottom>
      <diagonal/>
    </border>
    <border diagonalUp="1" diagonalDown="1">
      <left style="double">
        <color indexed="64"/>
      </left>
      <right style="thin">
        <color indexed="64"/>
      </right>
      <top style="double">
        <color indexed="64"/>
      </top>
      <bottom style="thin">
        <color indexed="64"/>
      </bottom>
      <diagonal style="thin">
        <color indexed="64"/>
      </diagonal>
    </border>
    <border>
      <left/>
      <right style="double">
        <color indexed="64"/>
      </right>
      <top style="double">
        <color indexed="64"/>
      </top>
      <bottom style="thin">
        <color indexed="64"/>
      </bottom>
      <diagonal/>
    </border>
    <border>
      <left style="double">
        <color indexed="64"/>
      </left>
      <right/>
      <top style="double">
        <color indexed="64"/>
      </top>
      <bottom style="double">
        <color indexed="64"/>
      </bottom>
      <diagonal/>
    </border>
  </borders>
  <cellStyleXfs count="8">
    <xf numFmtId="0" fontId="0" fillId="0" borderId="0"/>
    <xf numFmtId="43" fontId="1" fillId="0" borderId="0" applyFont="0" applyFill="0" applyBorder="0" applyAlignment="0" applyProtection="0"/>
    <xf numFmtId="5" fontId="1" fillId="0" borderId="0" applyFont="0" applyFill="0" applyBorder="0" applyAlignment="0" applyProtection="0"/>
    <xf numFmtId="6" fontId="2" fillId="0" borderId="0" applyFont="0" applyFill="0" applyBorder="0" applyAlignment="0" applyProtection="0"/>
    <xf numFmtId="0" fontId="13" fillId="0" borderId="0" applyNumberFormat="0" applyFill="0" applyBorder="0" applyAlignment="0" applyProtection="0">
      <alignment vertical="top"/>
      <protection locked="0"/>
    </xf>
    <xf numFmtId="0" fontId="12" fillId="0" borderId="0"/>
    <xf numFmtId="0" fontId="2" fillId="0" borderId="0"/>
    <xf numFmtId="9" fontId="1" fillId="0" borderId="0" applyFont="0" applyFill="0" applyBorder="0" applyAlignment="0" applyProtection="0"/>
  </cellStyleXfs>
  <cellXfs count="412">
    <xf numFmtId="0" fontId="0" fillId="0" borderId="0" xfId="0"/>
    <xf numFmtId="0" fontId="3" fillId="0" borderId="0" xfId="6" applyFont="1"/>
    <xf numFmtId="0" fontId="4" fillId="0" borderId="0" xfId="0" applyFont="1"/>
    <xf numFmtId="1" fontId="4" fillId="0" borderId="0" xfId="0" applyNumberFormat="1" applyFont="1"/>
    <xf numFmtId="0" fontId="4" fillId="0" borderId="0" xfId="0" applyFont="1" applyAlignment="1">
      <alignment horizontal="center"/>
    </xf>
    <xf numFmtId="0" fontId="5" fillId="0" borderId="0" xfId="0" applyFont="1" applyAlignment="1">
      <alignment horizontal="center"/>
    </xf>
    <xf numFmtId="0" fontId="4" fillId="0" borderId="0" xfId="0" applyFont="1" applyAlignment="1">
      <alignment horizontal="right"/>
    </xf>
    <xf numFmtId="164" fontId="4" fillId="0" borderId="0" xfId="7" applyNumberFormat="1" applyFont="1" applyAlignment="1">
      <alignment horizontal="center"/>
    </xf>
    <xf numFmtId="5" fontId="4" fillId="0" borderId="0" xfId="2" applyFont="1"/>
    <xf numFmtId="10" fontId="4" fillId="0" borderId="0" xfId="0" applyNumberFormat="1" applyFont="1"/>
    <xf numFmtId="5" fontId="4" fillId="0" borderId="0" xfId="0" applyNumberFormat="1" applyFont="1"/>
    <xf numFmtId="0" fontId="5" fillId="0" borderId="0" xfId="0" applyFont="1"/>
    <xf numFmtId="9" fontId="4" fillId="0" borderId="0" xfId="7" applyFont="1"/>
    <xf numFmtId="7" fontId="4" fillId="0" borderId="0" xfId="2" applyNumberFormat="1" applyFont="1"/>
    <xf numFmtId="164" fontId="4" fillId="0" borderId="0" xfId="7" applyNumberFormat="1" applyFont="1"/>
    <xf numFmtId="164" fontId="4" fillId="0" borderId="0" xfId="0" applyNumberFormat="1" applyFont="1"/>
    <xf numFmtId="0" fontId="6" fillId="0" borderId="0" xfId="0" applyFont="1"/>
    <xf numFmtId="0" fontId="4" fillId="0" borderId="0" xfId="0" applyFont="1" applyBorder="1"/>
    <xf numFmtId="12" fontId="4" fillId="0" borderId="0" xfId="0" applyNumberFormat="1" applyFont="1" applyAlignment="1">
      <alignment horizontal="center"/>
    </xf>
    <xf numFmtId="10" fontId="4" fillId="0" borderId="0" xfId="7" applyNumberFormat="1" applyFont="1" applyAlignment="1">
      <alignment horizontal="center"/>
    </xf>
    <xf numFmtId="5" fontId="4" fillId="0" borderId="0" xfId="2" applyFont="1" applyAlignment="1">
      <alignment horizontal="center"/>
    </xf>
    <xf numFmtId="5" fontId="4" fillId="0" borderId="0" xfId="0" applyNumberFormat="1" applyFont="1" applyAlignment="1">
      <alignment horizontal="center"/>
    </xf>
    <xf numFmtId="0" fontId="7" fillId="0" borderId="0" xfId="0" applyFont="1"/>
    <xf numFmtId="9" fontId="4" fillId="0" borderId="0" xfId="7" applyFont="1" applyAlignment="1">
      <alignment horizontal="center"/>
    </xf>
    <xf numFmtId="5" fontId="4" fillId="0" borderId="0" xfId="2" applyNumberFormat="1" applyFont="1"/>
    <xf numFmtId="1" fontId="4" fillId="0" borderId="0" xfId="0" applyNumberFormat="1" applyFont="1" applyAlignment="1">
      <alignment horizontal="center"/>
    </xf>
    <xf numFmtId="7" fontId="4" fillId="0" borderId="0" xfId="2" applyNumberFormat="1" applyFont="1" applyAlignment="1">
      <alignment horizontal="center"/>
    </xf>
    <xf numFmtId="7" fontId="4" fillId="0" borderId="0" xfId="0" applyNumberFormat="1" applyFont="1"/>
    <xf numFmtId="0" fontId="4" fillId="0" borderId="0" xfId="6" applyFont="1"/>
    <xf numFmtId="10" fontId="4" fillId="0" borderId="0" xfId="7" applyNumberFormat="1" applyFont="1"/>
    <xf numFmtId="2" fontId="4" fillId="0" borderId="0" xfId="6" applyNumberFormat="1" applyFont="1"/>
    <xf numFmtId="7" fontId="4" fillId="0" borderId="0" xfId="6" applyNumberFormat="1" applyFont="1"/>
    <xf numFmtId="9" fontId="4" fillId="0" borderId="0" xfId="7" applyNumberFormat="1" applyFont="1"/>
    <xf numFmtId="6" fontId="4" fillId="0" borderId="0" xfId="0" applyNumberFormat="1" applyFont="1"/>
    <xf numFmtId="9" fontId="4" fillId="0" borderId="0" xfId="0" applyNumberFormat="1" applyFont="1"/>
    <xf numFmtId="168" fontId="4" fillId="0" borderId="0" xfId="0" applyNumberFormat="1" applyFont="1"/>
    <xf numFmtId="0" fontId="8" fillId="0" borderId="0" xfId="0" applyFont="1"/>
    <xf numFmtId="5" fontId="8" fillId="0" borderId="0" xfId="2" applyFont="1"/>
    <xf numFmtId="0" fontId="9" fillId="0" borderId="0" xfId="0" applyFont="1"/>
    <xf numFmtId="0" fontId="8" fillId="0" borderId="0" xfId="0" applyFont="1" applyAlignment="1">
      <alignment horizontal="right"/>
    </xf>
    <xf numFmtId="10" fontId="8" fillId="0" borderId="0" xfId="7" applyNumberFormat="1" applyFont="1"/>
    <xf numFmtId="2" fontId="8" fillId="0" borderId="0" xfId="0" applyNumberFormat="1" applyFont="1"/>
    <xf numFmtId="7" fontId="8" fillId="0" borderId="0" xfId="0" applyNumberFormat="1" applyFont="1"/>
    <xf numFmtId="7" fontId="8" fillId="0" borderId="0" xfId="2" applyNumberFormat="1" applyFont="1"/>
    <xf numFmtId="0" fontId="10" fillId="0" borderId="0" xfId="0" applyFont="1"/>
    <xf numFmtId="0" fontId="8" fillId="0" borderId="0" xfId="0" applyFont="1" applyAlignment="1">
      <alignment horizontal="center"/>
    </xf>
    <xf numFmtId="7" fontId="8" fillId="0" borderId="0" xfId="0" applyNumberFormat="1" applyFont="1" applyAlignment="1">
      <alignment horizontal="center"/>
    </xf>
    <xf numFmtId="9" fontId="8" fillId="0" borderId="0" xfId="7" applyNumberFormat="1" applyFont="1"/>
    <xf numFmtId="0" fontId="10" fillId="0" borderId="0" xfId="0" applyFont="1" applyAlignment="1">
      <alignment horizontal="center"/>
    </xf>
    <xf numFmtId="5" fontId="8" fillId="0" borderId="0" xfId="2" applyNumberFormat="1" applyFont="1" applyAlignment="1">
      <alignment horizontal="center"/>
    </xf>
    <xf numFmtId="9" fontId="8" fillId="0" borderId="0" xfId="7" applyFont="1" applyAlignment="1">
      <alignment horizontal="center"/>
    </xf>
    <xf numFmtId="7" fontId="8" fillId="0" borderId="0" xfId="2" applyNumberFormat="1" applyFont="1" applyAlignment="1">
      <alignment horizontal="center"/>
    </xf>
    <xf numFmtId="164" fontId="8" fillId="0" borderId="0" xfId="7" applyNumberFormat="1" applyFont="1" applyAlignment="1">
      <alignment horizontal="center"/>
    </xf>
    <xf numFmtId="10" fontId="8" fillId="0" borderId="0" xfId="7" applyNumberFormat="1" applyFont="1" applyAlignment="1">
      <alignment horizontal="center"/>
    </xf>
    <xf numFmtId="164" fontId="8" fillId="0" borderId="0" xfId="7" applyNumberFormat="1" applyFont="1"/>
    <xf numFmtId="0" fontId="8" fillId="0" borderId="0" xfId="0" applyFont="1" applyAlignment="1">
      <alignment horizontal="left"/>
    </xf>
    <xf numFmtId="179" fontId="8" fillId="0" borderId="0" xfId="0" applyNumberFormat="1" applyFont="1"/>
    <xf numFmtId="0" fontId="11" fillId="0" borderId="0" xfId="0" applyFont="1" applyAlignment="1">
      <alignment horizontal="center"/>
    </xf>
    <xf numFmtId="10" fontId="8" fillId="0" borderId="0" xfId="7" applyNumberFormat="1" applyFont="1" applyAlignment="1">
      <alignment horizontal="right"/>
    </xf>
    <xf numFmtId="2" fontId="8" fillId="0" borderId="0" xfId="0" applyNumberFormat="1" applyFont="1" applyAlignment="1">
      <alignment horizontal="center"/>
    </xf>
    <xf numFmtId="7" fontId="8" fillId="0" borderId="0" xfId="0" applyNumberFormat="1" applyFont="1" applyAlignment="1">
      <alignment horizontal="right"/>
    </xf>
    <xf numFmtId="164" fontId="8" fillId="0" borderId="0" xfId="0" applyNumberFormat="1" applyFont="1" applyAlignment="1">
      <alignment horizontal="center"/>
    </xf>
    <xf numFmtId="0" fontId="4" fillId="0" borderId="0" xfId="0" applyFont="1" applyAlignment="1">
      <alignment horizontal="left"/>
    </xf>
    <xf numFmtId="1" fontId="4" fillId="0" borderId="0" xfId="0" applyNumberFormat="1" applyFont="1" applyAlignment="1">
      <alignment horizontal="left"/>
    </xf>
    <xf numFmtId="0" fontId="8" fillId="0" borderId="1" xfId="0" applyFont="1" applyBorder="1"/>
    <xf numFmtId="0" fontId="8" fillId="0" borderId="2" xfId="0" applyFont="1" applyBorder="1"/>
    <xf numFmtId="0" fontId="8" fillId="0" borderId="3" xfId="0" applyFont="1" applyBorder="1"/>
    <xf numFmtId="0" fontId="12" fillId="0" borderId="0" xfId="0" applyFont="1"/>
    <xf numFmtId="0" fontId="12" fillId="0" borderId="0" xfId="0" applyFont="1" applyAlignment="1">
      <alignment horizontal="center"/>
    </xf>
    <xf numFmtId="0" fontId="12" fillId="0" borderId="0" xfId="0" applyFont="1" applyAlignment="1">
      <alignment horizontal="centerContinuous"/>
    </xf>
    <xf numFmtId="0" fontId="12" fillId="0" borderId="0" xfId="0" applyFont="1" applyAlignment="1">
      <alignment horizontal="left"/>
    </xf>
    <xf numFmtId="0" fontId="8" fillId="0" borderId="0" xfId="0" applyFont="1" applyBorder="1"/>
    <xf numFmtId="0" fontId="12" fillId="0" borderId="0" xfId="0" applyFont="1" applyBorder="1"/>
    <xf numFmtId="0" fontId="8" fillId="0" borderId="4" xfId="0" applyFont="1" applyBorder="1" applyAlignment="1">
      <alignment horizontal="center"/>
    </xf>
    <xf numFmtId="3" fontId="4" fillId="0" borderId="5" xfId="0" applyNumberFormat="1" applyFont="1" applyBorder="1" applyAlignment="1">
      <alignment horizontal="center"/>
    </xf>
    <xf numFmtId="3" fontId="4" fillId="0" borderId="6" xfId="0" applyNumberFormat="1" applyFont="1" applyBorder="1" applyAlignment="1">
      <alignment horizontal="center"/>
    </xf>
    <xf numFmtId="0" fontId="4" fillId="0" borderId="4" xfId="0" applyFont="1" applyBorder="1" applyAlignment="1">
      <alignment horizontal="center"/>
    </xf>
    <xf numFmtId="0" fontId="4" fillId="0" borderId="2" xfId="0" applyFont="1" applyBorder="1"/>
    <xf numFmtId="0" fontId="4" fillId="0" borderId="3" xfId="0" applyFont="1" applyBorder="1"/>
    <xf numFmtId="0" fontId="4" fillId="0" borderId="7" xfId="0" applyFont="1" applyBorder="1" applyAlignment="1">
      <alignment horizontal="left"/>
    </xf>
    <xf numFmtId="0" fontId="4" fillId="0" borderId="8" xfId="0" applyFont="1" applyBorder="1" applyAlignment="1">
      <alignment horizontal="left"/>
    </xf>
    <xf numFmtId="3" fontId="4" fillId="0" borderId="5" xfId="0" applyNumberFormat="1" applyFont="1" applyBorder="1" applyAlignment="1">
      <alignment horizontal="left"/>
    </xf>
    <xf numFmtId="3" fontId="4" fillId="0" borderId="0" xfId="0" applyNumberFormat="1" applyFont="1" applyBorder="1" applyAlignment="1">
      <alignment horizontal="left"/>
    </xf>
    <xf numFmtId="3" fontId="4" fillId="0" borderId="6" xfId="0" applyNumberFormat="1" applyFont="1" applyBorder="1" applyAlignment="1">
      <alignment horizontal="left"/>
    </xf>
    <xf numFmtId="3" fontId="4" fillId="0" borderId="1" xfId="0" applyNumberFormat="1" applyFont="1" applyBorder="1" applyAlignment="1">
      <alignment horizontal="left"/>
    </xf>
    <xf numFmtId="3" fontId="0" fillId="0" borderId="0" xfId="0" applyNumberFormat="1" applyBorder="1" applyAlignment="1">
      <alignment horizontal="left"/>
    </xf>
    <xf numFmtId="3" fontId="0" fillId="0" borderId="1" xfId="0" applyNumberFormat="1" applyBorder="1" applyAlignment="1">
      <alignment horizontal="left"/>
    </xf>
    <xf numFmtId="0" fontId="12" fillId="0" borderId="0" xfId="5" applyFont="1"/>
    <xf numFmtId="0" fontId="14" fillId="0" borderId="0" xfId="0" applyFont="1"/>
    <xf numFmtId="181" fontId="4" fillId="0" borderId="5" xfId="0" applyNumberFormat="1" applyFont="1" applyBorder="1" applyAlignment="1">
      <alignment horizontal="center"/>
    </xf>
    <xf numFmtId="181" fontId="4" fillId="0" borderId="6" xfId="0" applyNumberFormat="1" applyFont="1" applyBorder="1" applyAlignment="1">
      <alignment horizontal="center"/>
    </xf>
    <xf numFmtId="37" fontId="4" fillId="0" borderId="0" xfId="0" applyNumberFormat="1" applyFont="1"/>
    <xf numFmtId="164" fontId="4" fillId="0" borderId="5" xfId="7" applyNumberFormat="1" applyFont="1" applyBorder="1" applyAlignment="1">
      <alignment horizontal="center"/>
    </xf>
    <xf numFmtId="164" fontId="4" fillId="0" borderId="6" xfId="7" applyNumberFormat="1" applyFont="1" applyBorder="1" applyAlignment="1">
      <alignment horizontal="center"/>
    </xf>
    <xf numFmtId="168" fontId="4" fillId="0" borderId="0" xfId="0" applyNumberFormat="1" applyFont="1" applyAlignment="1">
      <alignment horizontal="center"/>
    </xf>
    <xf numFmtId="5" fontId="4" fillId="0" borderId="0" xfId="2" applyNumberFormat="1" applyFont="1" applyAlignment="1">
      <alignment horizontal="center"/>
    </xf>
    <xf numFmtId="7" fontId="4" fillId="0" borderId="5" xfId="2" applyNumberFormat="1" applyFont="1" applyBorder="1" applyAlignment="1">
      <alignment horizontal="center"/>
    </xf>
    <xf numFmtId="7" fontId="4" fillId="0" borderId="6" xfId="2" applyNumberFormat="1" applyFont="1" applyBorder="1" applyAlignment="1">
      <alignment horizontal="center"/>
    </xf>
    <xf numFmtId="5" fontId="5" fillId="0" borderId="0" xfId="2" applyFont="1" applyAlignment="1">
      <alignment horizontal="right"/>
    </xf>
    <xf numFmtId="5" fontId="5" fillId="0" borderId="0" xfId="2" applyFont="1"/>
    <xf numFmtId="0" fontId="7" fillId="0" borderId="0" xfId="0" applyFont="1" applyAlignment="1">
      <alignment horizontal="center"/>
    </xf>
    <xf numFmtId="5" fontId="4" fillId="0" borderId="5" xfId="2" applyFont="1" applyBorder="1" applyAlignment="1">
      <alignment horizontal="center"/>
    </xf>
    <xf numFmtId="5" fontId="4" fillId="0" borderId="6" xfId="2" applyFont="1" applyBorder="1" applyAlignment="1">
      <alignment horizontal="center"/>
    </xf>
    <xf numFmtId="0" fontId="4" fillId="0" borderId="0" xfId="5" applyFont="1"/>
    <xf numFmtId="178" fontId="4" fillId="0" borderId="0" xfId="0" applyNumberFormat="1" applyFont="1" applyAlignment="1">
      <alignment horizontal="center"/>
    </xf>
    <xf numFmtId="39" fontId="4" fillId="0" borderId="0" xfId="0" applyNumberFormat="1" applyFont="1" applyAlignment="1">
      <alignment horizontal="right"/>
    </xf>
    <xf numFmtId="8" fontId="4" fillId="0" borderId="0" xfId="0" applyNumberFormat="1" applyFont="1"/>
    <xf numFmtId="6" fontId="4" fillId="0" borderId="0" xfId="6" applyNumberFormat="1" applyFont="1"/>
    <xf numFmtId="10" fontId="4" fillId="0" borderId="5" xfId="7" applyNumberFormat="1" applyFont="1" applyBorder="1" applyAlignment="1">
      <alignment horizontal="center"/>
    </xf>
    <xf numFmtId="10" fontId="4" fillId="0" borderId="6" xfId="7" applyNumberFormat="1" applyFont="1" applyBorder="1" applyAlignment="1">
      <alignment horizontal="center"/>
    </xf>
    <xf numFmtId="5" fontId="4" fillId="0" borderId="5" xfId="2" applyFont="1" applyBorder="1" applyAlignment="1">
      <alignment horizontal="left"/>
    </xf>
    <xf numFmtId="5" fontId="4" fillId="0" borderId="6" xfId="2" applyFont="1" applyBorder="1" applyAlignment="1">
      <alignment horizontal="left"/>
    </xf>
    <xf numFmtId="164" fontId="4" fillId="0" borderId="5" xfId="7" applyNumberFormat="1" applyFont="1" applyBorder="1" applyAlignment="1">
      <alignment horizontal="left"/>
    </xf>
    <xf numFmtId="164" fontId="4" fillId="0" borderId="6" xfId="7" applyNumberFormat="1" applyFont="1" applyBorder="1" applyAlignment="1">
      <alignment horizontal="left"/>
    </xf>
    <xf numFmtId="2" fontId="4" fillId="0" borderId="0" xfId="0" applyNumberFormat="1" applyFont="1"/>
    <xf numFmtId="2" fontId="4" fillId="0" borderId="0" xfId="0" applyNumberFormat="1" applyFont="1" applyAlignment="1">
      <alignment horizontal="center"/>
    </xf>
    <xf numFmtId="4" fontId="4" fillId="0" borderId="5" xfId="0" applyNumberFormat="1" applyFont="1" applyBorder="1" applyAlignment="1">
      <alignment horizontal="center"/>
    </xf>
    <xf numFmtId="4" fontId="4" fillId="0" borderId="0" xfId="0" applyNumberFormat="1" applyFont="1" applyBorder="1" applyAlignment="1">
      <alignment horizontal="center"/>
    </xf>
    <xf numFmtId="4" fontId="4" fillId="0" borderId="6" xfId="0" applyNumberFormat="1" applyFont="1" applyBorder="1" applyAlignment="1">
      <alignment horizontal="center"/>
    </xf>
    <xf numFmtId="4" fontId="4" fillId="0" borderId="1" xfId="0" applyNumberFormat="1" applyFont="1" applyBorder="1" applyAlignment="1">
      <alignment horizontal="center"/>
    </xf>
    <xf numFmtId="0" fontId="14" fillId="0" borderId="0" xfId="0" applyFont="1" applyAlignment="1">
      <alignment horizontal="left"/>
    </xf>
    <xf numFmtId="0" fontId="15" fillId="0" borderId="0" xfId="0" applyFont="1"/>
    <xf numFmtId="7" fontId="12" fillId="0" borderId="0" xfId="2" applyNumberFormat="1" applyFont="1" applyBorder="1"/>
    <xf numFmtId="0" fontId="4" fillId="0" borderId="0" xfId="0" applyFont="1" applyBorder="1" applyAlignment="1">
      <alignment horizontal="left"/>
    </xf>
    <xf numFmtId="4" fontId="4" fillId="0" borderId="0" xfId="0" applyNumberFormat="1" applyFont="1" applyBorder="1" applyAlignment="1">
      <alignment horizontal="left"/>
    </xf>
    <xf numFmtId="4" fontId="4" fillId="0" borderId="1" xfId="0" applyNumberFormat="1" applyFont="1" applyBorder="1" applyAlignment="1">
      <alignment horizontal="left"/>
    </xf>
    <xf numFmtId="3" fontId="5" fillId="0" borderId="0" xfId="0" applyNumberFormat="1" applyFont="1" applyBorder="1" applyAlignment="1">
      <alignment horizontal="left"/>
    </xf>
    <xf numFmtId="3" fontId="4" fillId="0" borderId="2" xfId="0" applyNumberFormat="1" applyFont="1" applyBorder="1" applyAlignment="1">
      <alignment horizontal="left"/>
    </xf>
    <xf numFmtId="3" fontId="4" fillId="0" borderId="3" xfId="0" applyNumberFormat="1" applyFont="1" applyBorder="1" applyAlignment="1">
      <alignment horizontal="left"/>
    </xf>
    <xf numFmtId="7" fontId="4" fillId="0" borderId="5" xfId="2" applyNumberFormat="1" applyFont="1" applyBorder="1" applyAlignment="1">
      <alignment horizontal="left"/>
    </xf>
    <xf numFmtId="7" fontId="4" fillId="0" borderId="6" xfId="2" applyNumberFormat="1" applyFont="1" applyBorder="1" applyAlignment="1">
      <alignment horizontal="left"/>
    </xf>
    <xf numFmtId="5" fontId="4" fillId="0" borderId="5" xfId="2" applyNumberFormat="1" applyFont="1" applyBorder="1" applyAlignment="1">
      <alignment horizontal="left"/>
    </xf>
    <xf numFmtId="5" fontId="4" fillId="0" borderId="6" xfId="2" applyNumberFormat="1" applyFont="1" applyBorder="1" applyAlignment="1">
      <alignment horizontal="left"/>
    </xf>
    <xf numFmtId="0" fontId="4" fillId="0" borderId="0" xfId="0" applyFont="1" applyBorder="1" applyAlignment="1">
      <alignment horizontal="center"/>
    </xf>
    <xf numFmtId="10" fontId="4" fillId="0" borderId="5" xfId="7" applyNumberFormat="1" applyFont="1" applyBorder="1" applyAlignment="1">
      <alignment horizontal="left"/>
    </xf>
    <xf numFmtId="10" fontId="4" fillId="0" borderId="6" xfId="7" applyNumberFormat="1" applyFont="1" applyBorder="1" applyAlignment="1">
      <alignment horizontal="left"/>
    </xf>
    <xf numFmtId="5" fontId="4" fillId="0" borderId="0" xfId="2" applyFont="1" applyBorder="1" applyAlignment="1">
      <alignment horizontal="left"/>
    </xf>
    <xf numFmtId="5" fontId="4" fillId="0" borderId="1" xfId="2" applyFont="1" applyBorder="1" applyAlignment="1">
      <alignment horizontal="left"/>
    </xf>
    <xf numFmtId="0" fontId="3" fillId="0" borderId="0" xfId="0" applyFont="1"/>
    <xf numFmtId="180" fontId="4" fillId="0" borderId="5" xfId="0" applyNumberFormat="1" applyFont="1" applyBorder="1" applyAlignment="1">
      <alignment horizontal="left"/>
    </xf>
    <xf numFmtId="180" fontId="4" fillId="0" borderId="6" xfId="0" applyNumberFormat="1" applyFont="1" applyBorder="1" applyAlignment="1">
      <alignment horizontal="left"/>
    </xf>
    <xf numFmtId="0" fontId="4" fillId="0" borderId="2" xfId="0" applyNumberFormat="1" applyFont="1" applyBorder="1" applyAlignment="1">
      <alignment horizontal="center"/>
    </xf>
    <xf numFmtId="5" fontId="4" fillId="0" borderId="0" xfId="2" applyFont="1" applyBorder="1" applyAlignment="1">
      <alignment horizontal="center"/>
    </xf>
    <xf numFmtId="0" fontId="4" fillId="0" borderId="0" xfId="0" applyNumberFormat="1" applyFont="1" applyBorder="1" applyAlignment="1"/>
    <xf numFmtId="164" fontId="4" fillId="0" borderId="0" xfId="0" applyNumberFormat="1" applyFont="1" applyBorder="1"/>
    <xf numFmtId="9" fontId="4" fillId="0" borderId="5" xfId="7" applyFont="1" applyBorder="1" applyAlignment="1">
      <alignment horizontal="left"/>
    </xf>
    <xf numFmtId="9" fontId="4" fillId="0" borderId="6" xfId="7" applyFont="1" applyBorder="1" applyAlignment="1">
      <alignment horizontal="left"/>
    </xf>
    <xf numFmtId="0" fontId="7" fillId="0" borderId="0" xfId="0" applyFont="1" applyAlignment="1">
      <alignment horizontal="right"/>
    </xf>
    <xf numFmtId="0" fontId="16" fillId="0" borderId="0" xfId="0" applyFont="1"/>
    <xf numFmtId="5" fontId="8" fillId="0" borderId="0" xfId="2" applyFont="1" applyBorder="1" applyAlignment="1">
      <alignment horizontal="center"/>
    </xf>
    <xf numFmtId="10" fontId="4" fillId="0" borderId="0" xfId="7" applyNumberFormat="1" applyFont="1" applyAlignment="1">
      <alignment horizontal="right"/>
    </xf>
    <xf numFmtId="10" fontId="4" fillId="0" borderId="0" xfId="7" applyNumberFormat="1" applyFont="1" applyAlignment="1"/>
    <xf numFmtId="7" fontId="4" fillId="0" borderId="0" xfId="2" applyNumberFormat="1" applyFont="1" applyAlignment="1"/>
    <xf numFmtId="0" fontId="4" fillId="0" borderId="0" xfId="0" applyFont="1" applyAlignment="1"/>
    <xf numFmtId="5" fontId="4" fillId="0" borderId="0" xfId="2" applyFont="1" applyAlignment="1"/>
    <xf numFmtId="0" fontId="3" fillId="0" borderId="0" xfId="0" applyFont="1" applyAlignment="1">
      <alignment horizontal="center"/>
    </xf>
    <xf numFmtId="10" fontId="4" fillId="0" borderId="0" xfId="0" applyNumberFormat="1" applyFont="1" applyAlignment="1"/>
    <xf numFmtId="10" fontId="4" fillId="0" borderId="0" xfId="7" applyNumberFormat="1" applyFont="1" applyBorder="1" applyAlignment="1">
      <alignment horizontal="left"/>
    </xf>
    <xf numFmtId="10" fontId="4" fillId="0" borderId="1" xfId="7" applyNumberFormat="1" applyFont="1" applyBorder="1" applyAlignment="1">
      <alignment horizontal="left"/>
    </xf>
    <xf numFmtId="10" fontId="4" fillId="0" borderId="0" xfId="0" applyNumberFormat="1" applyFont="1" applyAlignment="1">
      <alignment horizontal="center"/>
    </xf>
    <xf numFmtId="179" fontId="4" fillId="0" borderId="0" xfId="0" applyNumberFormat="1" applyFont="1"/>
    <xf numFmtId="0" fontId="4" fillId="0" borderId="0" xfId="6" applyFont="1" applyAlignment="1">
      <alignment horizontal="right"/>
    </xf>
    <xf numFmtId="0" fontId="14" fillId="0" borderId="0" xfId="0" applyFont="1" applyBorder="1" applyAlignment="1">
      <alignment horizontal="left"/>
    </xf>
    <xf numFmtId="0" fontId="4" fillId="0" borderId="0" xfId="6" applyFont="1" applyAlignment="1">
      <alignment horizontal="center"/>
    </xf>
    <xf numFmtId="3" fontId="4" fillId="0" borderId="7" xfId="0" applyNumberFormat="1" applyFont="1" applyBorder="1" applyAlignment="1">
      <alignment horizontal="left"/>
    </xf>
    <xf numFmtId="5" fontId="4" fillId="0" borderId="0" xfId="0" applyNumberFormat="1" applyFont="1" applyAlignment="1">
      <alignment horizontal="right"/>
    </xf>
    <xf numFmtId="5" fontId="5" fillId="0" borderId="0" xfId="0" applyNumberFormat="1" applyFont="1"/>
    <xf numFmtId="7" fontId="4" fillId="0" borderId="8" xfId="2" applyNumberFormat="1" applyFont="1" applyBorder="1" applyAlignment="1">
      <alignment horizontal="left"/>
    </xf>
    <xf numFmtId="3" fontId="4" fillId="0" borderId="0" xfId="2" applyNumberFormat="1" applyFont="1" applyBorder="1" applyAlignment="1">
      <alignment horizontal="left"/>
    </xf>
    <xf numFmtId="0" fontId="4" fillId="0" borderId="2" xfId="0" applyFont="1" applyBorder="1" applyAlignment="1">
      <alignment horizontal="center"/>
    </xf>
    <xf numFmtId="3" fontId="4" fillId="0" borderId="1" xfId="2" applyNumberFormat="1" applyFont="1" applyBorder="1" applyAlignment="1">
      <alignment horizontal="left"/>
    </xf>
    <xf numFmtId="0" fontId="4" fillId="0" borderId="3" xfId="0" applyFont="1" applyBorder="1" applyAlignment="1">
      <alignment horizontal="center"/>
    </xf>
    <xf numFmtId="170" fontId="4" fillId="0" borderId="0" xfId="0" applyNumberFormat="1" applyFont="1"/>
    <xf numFmtId="37" fontId="4" fillId="0" borderId="0" xfId="2" applyNumberFormat="1" applyFont="1"/>
    <xf numFmtId="1" fontId="4" fillId="0" borderId="0" xfId="1" applyNumberFormat="1" applyFont="1"/>
    <xf numFmtId="174" fontId="4" fillId="0" borderId="0" xfId="7" applyNumberFormat="1" applyFont="1"/>
    <xf numFmtId="6" fontId="12" fillId="0" borderId="0" xfId="5" applyNumberFormat="1" applyFont="1"/>
    <xf numFmtId="5" fontId="12" fillId="0" borderId="0" xfId="2" applyFont="1"/>
    <xf numFmtId="8" fontId="12" fillId="0" borderId="0" xfId="5" applyNumberFormat="1" applyFont="1"/>
    <xf numFmtId="0" fontId="17" fillId="0" borderId="0" xfId="0" applyFont="1"/>
    <xf numFmtId="5" fontId="3" fillId="0" borderId="0" xfId="2" applyFont="1"/>
    <xf numFmtId="7" fontId="4" fillId="0" borderId="0" xfId="0" applyNumberFormat="1" applyFont="1" applyAlignment="1">
      <alignment horizontal="center"/>
    </xf>
    <xf numFmtId="0" fontId="4" fillId="0" borderId="0" xfId="1" applyNumberFormat="1" applyFont="1"/>
    <xf numFmtId="43" fontId="4" fillId="0" borderId="0" xfId="1" applyNumberFormat="1" applyFont="1"/>
    <xf numFmtId="165" fontId="4" fillId="0" borderId="0" xfId="1" applyNumberFormat="1" applyFont="1"/>
    <xf numFmtId="39" fontId="4" fillId="0" borderId="0" xfId="2" applyNumberFormat="1" applyFont="1" applyBorder="1" applyAlignment="1">
      <alignment horizontal="center"/>
    </xf>
    <xf numFmtId="178" fontId="4" fillId="0" borderId="0" xfId="2" applyNumberFormat="1" applyFont="1" applyBorder="1" applyAlignment="1">
      <alignment horizontal="center"/>
    </xf>
    <xf numFmtId="7" fontId="4" fillId="0" borderId="0" xfId="2" applyNumberFormat="1" applyFont="1" applyBorder="1" applyAlignment="1">
      <alignment horizontal="center"/>
    </xf>
    <xf numFmtId="0" fontId="5" fillId="0" borderId="0" xfId="0" applyFont="1" applyBorder="1" applyAlignment="1">
      <alignment horizontal="center"/>
    </xf>
    <xf numFmtId="0" fontId="4" fillId="0" borderId="0" xfId="0" applyFont="1" applyBorder="1" applyAlignment="1">
      <alignment horizontal="right"/>
    </xf>
    <xf numFmtId="9" fontId="4" fillId="0" borderId="0" xfId="7" applyFont="1" applyBorder="1" applyAlignment="1">
      <alignment horizontal="center"/>
    </xf>
    <xf numFmtId="5" fontId="4" fillId="0" borderId="0" xfId="2" applyNumberFormat="1" applyFont="1" applyBorder="1" applyAlignment="1">
      <alignment horizontal="center"/>
    </xf>
    <xf numFmtId="2" fontId="4" fillId="0" borderId="0" xfId="0" applyNumberFormat="1" applyFont="1" applyBorder="1" applyAlignment="1">
      <alignment horizontal="center"/>
    </xf>
    <xf numFmtId="39" fontId="4" fillId="0" borderId="2" xfId="2" applyNumberFormat="1" applyFont="1" applyBorder="1" applyAlignment="1">
      <alignment horizontal="center"/>
    </xf>
    <xf numFmtId="9" fontId="7" fillId="0" borderId="2" xfId="7" applyFont="1" applyBorder="1" applyAlignment="1">
      <alignment horizontal="center"/>
    </xf>
    <xf numFmtId="180" fontId="4" fillId="0" borderId="6" xfId="2" applyNumberFormat="1" applyFont="1" applyBorder="1" applyAlignment="1">
      <alignment horizontal="left"/>
    </xf>
    <xf numFmtId="4" fontId="4" fillId="0" borderId="5" xfId="0" applyNumberFormat="1" applyFont="1" applyBorder="1" applyAlignment="1">
      <alignment horizontal="left"/>
    </xf>
    <xf numFmtId="4" fontId="4" fillId="0" borderId="6" xfId="2" applyNumberFormat="1" applyFont="1" applyBorder="1" applyAlignment="1">
      <alignment horizontal="left"/>
    </xf>
    <xf numFmtId="178" fontId="4" fillId="0" borderId="2" xfId="2" applyNumberFormat="1" applyFont="1" applyBorder="1" applyAlignment="1">
      <alignment horizontal="center"/>
    </xf>
    <xf numFmtId="7" fontId="4" fillId="0" borderId="2" xfId="2" applyNumberFormat="1" applyFont="1" applyBorder="1" applyAlignment="1">
      <alignment horizontal="center"/>
    </xf>
    <xf numFmtId="9" fontId="4" fillId="0" borderId="2" xfId="2" applyNumberFormat="1" applyFont="1" applyBorder="1" applyAlignment="1">
      <alignment horizontal="center"/>
    </xf>
    <xf numFmtId="3" fontId="4" fillId="0" borderId="6" xfId="7" applyNumberFormat="1" applyFont="1" applyBorder="1" applyAlignment="1">
      <alignment horizontal="left"/>
    </xf>
    <xf numFmtId="3" fontId="4" fillId="0" borderId="1" xfId="7" applyNumberFormat="1" applyFont="1" applyBorder="1" applyAlignment="1">
      <alignment horizontal="left"/>
    </xf>
    <xf numFmtId="9" fontId="7" fillId="0" borderId="3" xfId="7" applyFont="1" applyBorder="1" applyAlignment="1">
      <alignment horizontal="center"/>
    </xf>
    <xf numFmtId="39" fontId="4" fillId="0" borderId="4" xfId="2" applyNumberFormat="1" applyFont="1" applyBorder="1" applyAlignment="1">
      <alignment horizontal="center"/>
    </xf>
    <xf numFmtId="39" fontId="4" fillId="0" borderId="7" xfId="2" applyNumberFormat="1" applyFont="1" applyBorder="1" applyAlignment="1">
      <alignment horizontal="left"/>
    </xf>
    <xf numFmtId="3" fontId="5" fillId="0" borderId="1" xfId="0" applyNumberFormat="1" applyFont="1" applyBorder="1" applyAlignment="1">
      <alignment horizontal="left"/>
    </xf>
    <xf numFmtId="5" fontId="4" fillId="0" borderId="2" xfId="2" applyNumberFormat="1" applyFont="1" applyBorder="1" applyAlignment="1">
      <alignment horizontal="center"/>
    </xf>
    <xf numFmtId="178" fontId="4" fillId="0" borderId="4" xfId="2" applyNumberFormat="1" applyFont="1" applyBorder="1" applyAlignment="1">
      <alignment horizontal="center"/>
    </xf>
    <xf numFmtId="178" fontId="4" fillId="0" borderId="7" xfId="2" applyNumberFormat="1" applyFont="1" applyBorder="1" applyAlignment="1">
      <alignment horizontal="left"/>
    </xf>
    <xf numFmtId="7" fontId="4" fillId="0" borderId="4" xfId="2" applyNumberFormat="1" applyFont="1" applyBorder="1" applyAlignment="1">
      <alignment horizontal="center"/>
    </xf>
    <xf numFmtId="7" fontId="4" fillId="0" borderId="7" xfId="2" applyNumberFormat="1" applyFont="1" applyBorder="1" applyAlignment="1">
      <alignment horizontal="left"/>
    </xf>
    <xf numFmtId="0" fontId="4" fillId="0" borderId="0" xfId="6" applyFont="1" applyBorder="1" applyAlignment="1">
      <alignment horizontal="center"/>
    </xf>
    <xf numFmtId="7" fontId="4" fillId="0" borderId="0" xfId="6" applyNumberFormat="1" applyFont="1" applyBorder="1" applyAlignment="1">
      <alignment horizontal="center"/>
    </xf>
    <xf numFmtId="9" fontId="4" fillId="0" borderId="4" xfId="7" applyFont="1" applyBorder="1" applyAlignment="1">
      <alignment horizontal="center"/>
    </xf>
    <xf numFmtId="9" fontId="4" fillId="0" borderId="7" xfId="7" applyFont="1" applyBorder="1" applyAlignment="1">
      <alignment horizontal="left"/>
    </xf>
    <xf numFmtId="3" fontId="4" fillId="0" borderId="5" xfId="7" applyNumberFormat="1" applyFont="1" applyBorder="1" applyAlignment="1">
      <alignment horizontal="left"/>
    </xf>
    <xf numFmtId="3" fontId="4" fillId="0" borderId="0" xfId="7" applyNumberFormat="1" applyFont="1" applyBorder="1" applyAlignment="1">
      <alignment horizontal="left"/>
    </xf>
    <xf numFmtId="1" fontId="4" fillId="0" borderId="0" xfId="1" applyNumberFormat="1" applyFont="1" applyAlignment="1">
      <alignment horizontal="center"/>
    </xf>
    <xf numFmtId="4" fontId="4" fillId="0" borderId="6" xfId="0" applyNumberFormat="1" applyFont="1" applyBorder="1" applyAlignment="1">
      <alignment horizontal="left"/>
    </xf>
    <xf numFmtId="179" fontId="4" fillId="0" borderId="0" xfId="0" applyNumberFormat="1" applyFont="1" applyAlignment="1">
      <alignment horizontal="center"/>
    </xf>
    <xf numFmtId="0" fontId="7" fillId="0" borderId="0" xfId="6" applyFont="1"/>
    <xf numFmtId="6" fontId="4" fillId="0" borderId="0" xfId="3" applyFont="1"/>
    <xf numFmtId="6" fontId="4" fillId="0" borderId="0" xfId="3" applyFont="1" applyAlignment="1">
      <alignment horizontal="left"/>
    </xf>
    <xf numFmtId="6" fontId="5" fillId="0" borderId="0" xfId="3" applyFont="1"/>
    <xf numFmtId="0" fontId="5" fillId="0" borderId="0" xfId="6" applyFont="1"/>
    <xf numFmtId="6" fontId="5" fillId="0" borderId="0" xfId="3" applyNumberFormat="1" applyFont="1" applyAlignment="1">
      <alignment horizontal="left"/>
    </xf>
    <xf numFmtId="0" fontId="4" fillId="0" borderId="0" xfId="6" applyFont="1" applyAlignment="1">
      <alignment horizontal="centerContinuous"/>
    </xf>
    <xf numFmtId="2" fontId="4" fillId="0" borderId="0" xfId="1" applyNumberFormat="1" applyFont="1" applyAlignment="1">
      <alignment horizontal="center"/>
    </xf>
    <xf numFmtId="2" fontId="4" fillId="0" borderId="0" xfId="6" applyNumberFormat="1" applyFont="1" applyAlignment="1" applyProtection="1">
      <alignment horizontal="center"/>
      <protection locked="0" hidden="1"/>
    </xf>
    <xf numFmtId="1" fontId="4" fillId="0" borderId="0" xfId="6" applyNumberFormat="1" applyFont="1"/>
    <xf numFmtId="5" fontId="4" fillId="0" borderId="0" xfId="2" applyFont="1" applyAlignment="1">
      <alignment horizontal="left"/>
    </xf>
    <xf numFmtId="5" fontId="4" fillId="0" borderId="0" xfId="7" applyNumberFormat="1" applyFont="1"/>
    <xf numFmtId="169" fontId="4" fillId="0" borderId="0" xfId="0" applyNumberFormat="1" applyFont="1" applyAlignment="1">
      <alignment horizontal="center"/>
    </xf>
    <xf numFmtId="3" fontId="4" fillId="0" borderId="0" xfId="0" applyNumberFormat="1" applyFont="1" applyAlignment="1">
      <alignment horizontal="center"/>
    </xf>
    <xf numFmtId="1" fontId="5" fillId="0" borderId="0" xfId="7" applyNumberFormat="1" applyFont="1" applyBorder="1" applyAlignment="1">
      <alignment horizontal="center"/>
    </xf>
    <xf numFmtId="4" fontId="4" fillId="0" borderId="0" xfId="2" applyNumberFormat="1" applyFont="1" applyBorder="1" applyAlignment="1">
      <alignment horizontal="center"/>
    </xf>
    <xf numFmtId="7" fontId="4" fillId="0" borderId="3" xfId="2" applyNumberFormat="1" applyFont="1" applyBorder="1" applyAlignment="1">
      <alignment horizontal="center"/>
    </xf>
    <xf numFmtId="39" fontId="4" fillId="0" borderId="0" xfId="2" applyNumberFormat="1" applyFont="1" applyAlignment="1">
      <alignment horizontal="center"/>
    </xf>
    <xf numFmtId="0" fontId="20" fillId="0" borderId="0" xfId="0" applyFont="1" applyAlignment="1">
      <alignment horizontal="right"/>
    </xf>
    <xf numFmtId="0" fontId="7" fillId="0" borderId="4" xfId="0" applyFont="1" applyBorder="1" applyAlignment="1">
      <alignment horizontal="center"/>
    </xf>
    <xf numFmtId="3" fontId="4" fillId="0" borderId="4" xfId="0" applyNumberFormat="1" applyFont="1" applyBorder="1" applyAlignment="1">
      <alignment horizontal="center"/>
    </xf>
    <xf numFmtId="164" fontId="4" fillId="0" borderId="0" xfId="7" applyNumberFormat="1" applyFont="1" applyBorder="1" applyAlignment="1">
      <alignment horizontal="center"/>
    </xf>
    <xf numFmtId="164" fontId="4" fillId="0" borderId="0" xfId="0" applyNumberFormat="1" applyFont="1" applyBorder="1" applyAlignment="1">
      <alignment horizontal="center"/>
    </xf>
    <xf numFmtId="164" fontId="4" fillId="0" borderId="0" xfId="0" applyNumberFormat="1" applyFont="1" applyAlignment="1">
      <alignment horizontal="center"/>
    </xf>
    <xf numFmtId="9" fontId="4" fillId="0" borderId="0" xfId="0" applyNumberFormat="1" applyFont="1" applyAlignment="1">
      <alignment horizontal="center"/>
    </xf>
    <xf numFmtId="164" fontId="4" fillId="0" borderId="0" xfId="0" applyNumberFormat="1" applyFont="1" applyAlignment="1">
      <alignment horizontal="left"/>
    </xf>
    <xf numFmtId="9" fontId="4" fillId="0" borderId="0" xfId="0" applyNumberFormat="1" applyFont="1" applyBorder="1" applyAlignment="1">
      <alignment horizontal="center"/>
    </xf>
    <xf numFmtId="169" fontId="4" fillId="0" borderId="0" xfId="7" applyNumberFormat="1" applyFont="1" applyAlignment="1">
      <alignment horizontal="center"/>
    </xf>
    <xf numFmtId="9" fontId="4" fillId="0" borderId="0" xfId="7" applyNumberFormat="1" applyFont="1" applyBorder="1" applyAlignment="1">
      <alignment horizontal="center"/>
    </xf>
    <xf numFmtId="9" fontId="4" fillId="0" borderId="2" xfId="7" applyFont="1" applyBorder="1" applyAlignment="1">
      <alignment horizontal="center"/>
    </xf>
    <xf numFmtId="9" fontId="4" fillId="0" borderId="3" xfId="7" applyFont="1" applyBorder="1" applyAlignment="1">
      <alignment horizontal="center"/>
    </xf>
    <xf numFmtId="9" fontId="4" fillId="0" borderId="0" xfId="7" applyNumberFormat="1" applyFont="1" applyAlignment="1">
      <alignment horizontal="center"/>
    </xf>
    <xf numFmtId="164" fontId="4" fillId="0" borderId="8" xfId="2" applyNumberFormat="1" applyFont="1" applyBorder="1" applyAlignment="1">
      <alignment horizontal="left"/>
    </xf>
    <xf numFmtId="4" fontId="4" fillId="0" borderId="5" xfId="7" applyNumberFormat="1" applyFont="1" applyBorder="1" applyAlignment="1">
      <alignment horizontal="left"/>
    </xf>
    <xf numFmtId="169" fontId="4" fillId="0" borderId="0" xfId="0" applyNumberFormat="1" applyFont="1"/>
    <xf numFmtId="10" fontId="4" fillId="0" borderId="0" xfId="0" applyNumberFormat="1" applyFont="1" applyAlignment="1">
      <alignment horizontal="right"/>
    </xf>
    <xf numFmtId="164" fontId="4" fillId="0" borderId="0" xfId="7" applyNumberFormat="1" applyFont="1" applyBorder="1" applyAlignment="1">
      <alignment horizontal="left"/>
    </xf>
    <xf numFmtId="0" fontId="6" fillId="0" borderId="0" xfId="0" applyFont="1" applyBorder="1" applyAlignment="1"/>
    <xf numFmtId="164" fontId="4" fillId="0" borderId="2" xfId="7" applyNumberFormat="1" applyFont="1" applyBorder="1" applyAlignment="1">
      <alignment horizontal="center"/>
    </xf>
    <xf numFmtId="164" fontId="4" fillId="0" borderId="3" xfId="7" applyNumberFormat="1" applyFont="1" applyBorder="1" applyAlignment="1">
      <alignment horizontal="center"/>
    </xf>
    <xf numFmtId="0" fontId="6" fillId="0" borderId="2" xfId="0" applyFont="1" applyBorder="1" applyAlignment="1"/>
    <xf numFmtId="0" fontId="6" fillId="0" borderId="3" xfId="0" applyFont="1" applyBorder="1" applyAlignment="1"/>
    <xf numFmtId="0" fontId="4" fillId="0" borderId="0" xfId="2" applyNumberFormat="1" applyFont="1"/>
    <xf numFmtId="167" fontId="4" fillId="0" borderId="0" xfId="2" applyNumberFormat="1" applyFont="1"/>
    <xf numFmtId="0" fontId="4" fillId="0" borderId="0" xfId="2" applyNumberFormat="1" applyFont="1" applyAlignment="1">
      <alignment horizontal="right"/>
    </xf>
    <xf numFmtId="167" fontId="4" fillId="0" borderId="0" xfId="2" applyNumberFormat="1" applyFont="1" applyAlignment="1">
      <alignment horizontal="center"/>
    </xf>
    <xf numFmtId="3" fontId="4" fillId="0" borderId="5" xfId="2" applyNumberFormat="1" applyFont="1" applyBorder="1" applyAlignment="1">
      <alignment horizontal="left"/>
    </xf>
    <xf numFmtId="3" fontId="4" fillId="0" borderId="6" xfId="2" applyNumberFormat="1" applyFont="1" applyBorder="1" applyAlignment="1">
      <alignment horizontal="left"/>
    </xf>
    <xf numFmtId="1" fontId="4" fillId="0" borderId="0" xfId="2" applyNumberFormat="1" applyFont="1" applyAlignment="1">
      <alignment horizontal="right"/>
    </xf>
    <xf numFmtId="13" fontId="4" fillId="0" borderId="0" xfId="2" applyNumberFormat="1" applyFont="1"/>
    <xf numFmtId="13" fontId="4" fillId="0" borderId="0" xfId="7" applyNumberFormat="1" applyFont="1"/>
    <xf numFmtId="13" fontId="4" fillId="0" borderId="0" xfId="0" applyNumberFormat="1" applyFont="1" applyAlignment="1">
      <alignment horizontal="center"/>
    </xf>
    <xf numFmtId="177" fontId="4" fillId="0" borderId="5" xfId="0" applyNumberFormat="1" applyFont="1" applyBorder="1" applyAlignment="1">
      <alignment horizontal="left"/>
    </xf>
    <xf numFmtId="177" fontId="4" fillId="0" borderId="6" xfId="0" applyNumberFormat="1" applyFont="1" applyBorder="1" applyAlignment="1">
      <alignment horizontal="left"/>
    </xf>
    <xf numFmtId="177" fontId="4" fillId="0" borderId="0" xfId="0" applyNumberFormat="1" applyFont="1" applyBorder="1"/>
    <xf numFmtId="0" fontId="14" fillId="0" borderId="0" xfId="2" applyNumberFormat="1" applyFont="1"/>
    <xf numFmtId="2" fontId="4" fillId="0" borderId="0" xfId="0" applyNumberFormat="1" applyFont="1" applyAlignment="1">
      <alignment horizontal="left"/>
    </xf>
    <xf numFmtId="9" fontId="4" fillId="0" borderId="0" xfId="7" applyFont="1" applyBorder="1" applyAlignment="1">
      <alignment horizontal="left"/>
    </xf>
    <xf numFmtId="9" fontId="4" fillId="0" borderId="1" xfId="7" applyFont="1" applyBorder="1" applyAlignment="1">
      <alignment horizontal="left"/>
    </xf>
    <xf numFmtId="37" fontId="4" fillId="0" borderId="0" xfId="0" applyNumberFormat="1" applyFont="1" applyAlignment="1">
      <alignment horizontal="center"/>
    </xf>
    <xf numFmtId="4" fontId="4" fillId="0" borderId="0" xfId="2" applyNumberFormat="1" applyFont="1" applyAlignment="1">
      <alignment horizontal="center"/>
    </xf>
    <xf numFmtId="3" fontId="4" fillId="0" borderId="0" xfId="1" applyNumberFormat="1" applyFont="1"/>
    <xf numFmtId="3" fontId="4" fillId="0" borderId="0" xfId="1" applyNumberFormat="1" applyFont="1" applyAlignment="1">
      <alignment horizontal="center"/>
    </xf>
    <xf numFmtId="7" fontId="4" fillId="0" borderId="0" xfId="2" applyNumberFormat="1" applyFont="1" applyBorder="1" applyAlignment="1">
      <alignment horizontal="center" vertical="center"/>
    </xf>
    <xf numFmtId="0" fontId="4" fillId="0" borderId="0" xfId="0" applyFont="1" applyAlignment="1">
      <alignment horizontal="center" vertical="center"/>
    </xf>
    <xf numFmtId="7" fontId="4" fillId="0" borderId="0" xfId="2" applyNumberFormat="1" applyFont="1" applyAlignment="1">
      <alignment horizontal="right"/>
    </xf>
    <xf numFmtId="0" fontId="7" fillId="0" borderId="0" xfId="0" applyFont="1" applyAlignment="1">
      <alignment horizontal="left"/>
    </xf>
    <xf numFmtId="7" fontId="4" fillId="0" borderId="0" xfId="2" applyNumberFormat="1" applyFont="1" applyAlignment="1">
      <alignment horizontal="center" vertical="center"/>
    </xf>
    <xf numFmtId="0" fontId="4" fillId="0" borderId="2" xfId="0" applyFont="1" applyBorder="1" applyAlignment="1">
      <alignment horizontal="left"/>
    </xf>
    <xf numFmtId="1" fontId="4" fillId="0" borderId="0" xfId="7" applyNumberFormat="1" applyFont="1" applyAlignment="1">
      <alignment horizontal="center"/>
    </xf>
    <xf numFmtId="7" fontId="8" fillId="0" borderId="0" xfId="2" applyNumberFormat="1" applyFont="1" applyBorder="1" applyAlignment="1">
      <alignment horizontal="center"/>
    </xf>
    <xf numFmtId="7" fontId="8" fillId="0" borderId="0" xfId="0" applyNumberFormat="1" applyFont="1" applyBorder="1" applyAlignment="1">
      <alignment horizontal="center"/>
    </xf>
    <xf numFmtId="9" fontId="8" fillId="0" borderId="0" xfId="0" applyNumberFormat="1" applyFont="1" applyBorder="1" applyAlignment="1">
      <alignment horizontal="center"/>
    </xf>
    <xf numFmtId="9" fontId="8" fillId="0" borderId="0" xfId="7" applyNumberFormat="1" applyFont="1" applyBorder="1" applyAlignment="1">
      <alignment horizontal="center"/>
    </xf>
    <xf numFmtId="7" fontId="4" fillId="0" borderId="0" xfId="2" applyNumberFormat="1" applyFont="1" applyBorder="1" applyAlignment="1">
      <alignment horizontal="left"/>
    </xf>
    <xf numFmtId="7" fontId="4" fillId="0" borderId="1" xfId="2" applyNumberFormat="1" applyFont="1" applyBorder="1" applyAlignment="1">
      <alignment horizontal="left"/>
    </xf>
    <xf numFmtId="12" fontId="4" fillId="0" borderId="0" xfId="0" applyNumberFormat="1" applyFont="1"/>
    <xf numFmtId="12" fontId="4" fillId="0" borderId="0" xfId="7" applyNumberFormat="1" applyFont="1"/>
    <xf numFmtId="164" fontId="4" fillId="0" borderId="1" xfId="7" applyNumberFormat="1" applyFont="1" applyBorder="1" applyAlignment="1">
      <alignment horizontal="center"/>
    </xf>
    <xf numFmtId="167" fontId="4" fillId="0" borderId="5" xfId="2" applyNumberFormat="1" applyFont="1" applyBorder="1" applyAlignment="1">
      <alignment horizontal="center"/>
    </xf>
    <xf numFmtId="167" fontId="4" fillId="0" borderId="6" xfId="2" applyNumberFormat="1" applyFont="1" applyBorder="1" applyAlignment="1">
      <alignment horizontal="center"/>
    </xf>
    <xf numFmtId="5" fontId="4" fillId="0" borderId="5" xfId="2" applyNumberFormat="1" applyFont="1" applyBorder="1" applyAlignment="1">
      <alignment horizontal="center"/>
    </xf>
    <xf numFmtId="5" fontId="4" fillId="0" borderId="6" xfId="2" applyNumberFormat="1" applyFont="1" applyBorder="1" applyAlignment="1">
      <alignment horizontal="center"/>
    </xf>
    <xf numFmtId="164" fontId="4" fillId="0" borderId="1" xfId="7" applyNumberFormat="1" applyFont="1" applyBorder="1" applyAlignment="1">
      <alignment horizontal="left"/>
    </xf>
    <xf numFmtId="164" fontId="4" fillId="0" borderId="5" xfId="7" applyNumberFormat="1" applyFont="1" applyBorder="1" applyAlignment="1">
      <alignment horizontal="right"/>
    </xf>
    <xf numFmtId="164" fontId="4" fillId="0" borderId="6" xfId="7" applyNumberFormat="1" applyFont="1" applyBorder="1" applyAlignment="1">
      <alignment horizontal="right"/>
    </xf>
    <xf numFmtId="9" fontId="4" fillId="0" borderId="5" xfId="7" applyFont="1" applyBorder="1" applyAlignment="1">
      <alignment horizontal="center"/>
    </xf>
    <xf numFmtId="9" fontId="4" fillId="0" borderId="6" xfId="7" applyFont="1" applyBorder="1" applyAlignment="1">
      <alignment horizontal="center"/>
    </xf>
    <xf numFmtId="172" fontId="4" fillId="0" borderId="0" xfId="0" applyNumberFormat="1" applyFont="1"/>
    <xf numFmtId="39" fontId="4" fillId="0" borderId="5" xfId="2" applyNumberFormat="1" applyFont="1" applyBorder="1" applyAlignment="1">
      <alignment horizontal="left"/>
    </xf>
    <xf numFmtId="39" fontId="4" fillId="0" borderId="6" xfId="2" applyNumberFormat="1" applyFont="1" applyBorder="1" applyAlignment="1">
      <alignment horizontal="left"/>
    </xf>
    <xf numFmtId="181" fontId="4" fillId="0" borderId="5" xfId="0" applyNumberFormat="1" applyFont="1" applyBorder="1" applyAlignment="1">
      <alignment horizontal="left"/>
    </xf>
    <xf numFmtId="181" fontId="4" fillId="0" borderId="6" xfId="0" applyNumberFormat="1" applyFont="1" applyBorder="1" applyAlignment="1">
      <alignment horizontal="left"/>
    </xf>
    <xf numFmtId="176" fontId="4" fillId="0" borderId="5" xfId="2" applyNumberFormat="1" applyFont="1" applyBorder="1" applyAlignment="1">
      <alignment horizontal="left"/>
    </xf>
    <xf numFmtId="176" fontId="4" fillId="0" borderId="6" xfId="2" applyNumberFormat="1" applyFont="1" applyBorder="1" applyAlignment="1">
      <alignment horizontal="left"/>
    </xf>
    <xf numFmtId="10" fontId="12" fillId="0" borderId="0" xfId="7" applyNumberFormat="1" applyFont="1"/>
    <xf numFmtId="3" fontId="4" fillId="0" borderId="0" xfId="0" applyNumberFormat="1" applyFont="1" applyBorder="1" applyAlignment="1">
      <alignment horizontal="center"/>
    </xf>
    <xf numFmtId="3" fontId="4" fillId="0" borderId="1" xfId="0" applyNumberFormat="1" applyFont="1" applyBorder="1" applyAlignment="1">
      <alignment horizontal="center"/>
    </xf>
    <xf numFmtId="168" fontId="4" fillId="0" borderId="0" xfId="0" applyNumberFormat="1" applyFont="1" applyAlignment="1">
      <alignment horizontal="right"/>
    </xf>
    <xf numFmtId="5" fontId="4" fillId="0" borderId="1" xfId="2" applyFont="1" applyBorder="1" applyAlignment="1">
      <alignment horizontal="center"/>
    </xf>
    <xf numFmtId="2" fontId="4" fillId="0" borderId="0" xfId="0" applyNumberFormat="1" applyFont="1" applyAlignment="1">
      <alignment horizontal="right"/>
    </xf>
    <xf numFmtId="0" fontId="12" fillId="0" borderId="0" xfId="0" applyFont="1" applyAlignment="1">
      <alignment horizontal="right"/>
    </xf>
    <xf numFmtId="179" fontId="12" fillId="0" borderId="0" xfId="2" applyNumberFormat="1" applyFont="1"/>
    <xf numFmtId="164" fontId="4" fillId="0" borderId="0" xfId="7" applyNumberFormat="1" applyFont="1" applyAlignment="1">
      <alignment horizontal="right"/>
    </xf>
    <xf numFmtId="1" fontId="4" fillId="0" borderId="0" xfId="7" applyNumberFormat="1" applyFont="1" applyAlignment="1">
      <alignment horizontal="right"/>
    </xf>
    <xf numFmtId="7" fontId="4" fillId="0" borderId="0" xfId="0" applyNumberFormat="1" applyFont="1" applyBorder="1" applyAlignment="1">
      <alignment horizontal="center"/>
    </xf>
    <xf numFmtId="10" fontId="4" fillId="0" borderId="0" xfId="7" applyNumberFormat="1" applyFont="1" applyAlignment="1">
      <alignment horizontal="left"/>
    </xf>
    <xf numFmtId="1" fontId="4" fillId="0" borderId="0" xfId="0" applyNumberFormat="1" applyFont="1" applyAlignment="1">
      <alignment horizontal="right"/>
    </xf>
    <xf numFmtId="167" fontId="4" fillId="0" borderId="0" xfId="0" applyNumberFormat="1" applyFont="1"/>
    <xf numFmtId="37" fontId="4" fillId="0" borderId="0" xfId="2" applyNumberFormat="1" applyFont="1" applyAlignment="1">
      <alignment horizontal="center"/>
    </xf>
    <xf numFmtId="178" fontId="4" fillId="0" borderId="0" xfId="2" applyNumberFormat="1" applyFont="1" applyAlignment="1">
      <alignment horizontal="center"/>
    </xf>
    <xf numFmtId="168" fontId="4" fillId="0" borderId="0" xfId="6" applyNumberFormat="1" applyFont="1"/>
    <xf numFmtId="168" fontId="4" fillId="0" borderId="0" xfId="6" applyNumberFormat="1" applyFont="1" applyAlignment="1">
      <alignment horizontal="center"/>
    </xf>
    <xf numFmtId="7" fontId="4" fillId="0" borderId="1" xfId="2" applyNumberFormat="1" applyFont="1" applyBorder="1" applyAlignment="1">
      <alignment horizontal="center"/>
    </xf>
    <xf numFmtId="39" fontId="4" fillId="0" borderId="0" xfId="2" applyNumberFormat="1" applyFont="1"/>
    <xf numFmtId="181" fontId="4" fillId="0" borderId="0" xfId="0" applyNumberFormat="1" applyFont="1"/>
    <xf numFmtId="181" fontId="4" fillId="0" borderId="5" xfId="2" applyNumberFormat="1" applyFont="1" applyBorder="1" applyAlignment="1">
      <alignment horizontal="center"/>
    </xf>
    <xf numFmtId="181" fontId="4" fillId="0" borderId="6" xfId="2" applyNumberFormat="1" applyFont="1" applyBorder="1" applyAlignment="1">
      <alignment horizontal="center"/>
    </xf>
    <xf numFmtId="0" fontId="4" fillId="0" borderId="3" xfId="5" applyFont="1" applyBorder="1"/>
    <xf numFmtId="3" fontId="4" fillId="0" borderId="1" xfId="5" applyNumberFormat="1" applyFont="1" applyBorder="1" applyAlignment="1">
      <alignment horizontal="left"/>
    </xf>
    <xf numFmtId="6" fontId="4" fillId="0" borderId="0" xfId="5" applyNumberFormat="1" applyFont="1"/>
    <xf numFmtId="0" fontId="4" fillId="0" borderId="2" xfId="5" applyFont="1" applyBorder="1"/>
    <xf numFmtId="0" fontId="4" fillId="0" borderId="4" xfId="5" applyFont="1" applyBorder="1" applyAlignment="1">
      <alignment horizontal="center"/>
    </xf>
    <xf numFmtId="0" fontId="4" fillId="0" borderId="7" xfId="5" applyFont="1" applyBorder="1" applyAlignment="1">
      <alignment horizontal="left"/>
    </xf>
    <xf numFmtId="0" fontId="4" fillId="0" borderId="8" xfId="5" applyFont="1" applyBorder="1" applyAlignment="1">
      <alignment horizontal="left"/>
    </xf>
    <xf numFmtId="3" fontId="4" fillId="0" borderId="0" xfId="5" applyNumberFormat="1" applyFont="1" applyBorder="1" applyAlignment="1">
      <alignment horizontal="left"/>
    </xf>
    <xf numFmtId="0" fontId="14" fillId="0" borderId="0" xfId="5" applyFont="1"/>
    <xf numFmtId="169" fontId="4" fillId="0" borderId="0" xfId="5" applyNumberFormat="1" applyFont="1"/>
    <xf numFmtId="3" fontId="4" fillId="0" borderId="0" xfId="5" applyNumberFormat="1" applyFont="1"/>
    <xf numFmtId="0" fontId="7" fillId="0" borderId="0" xfId="5" applyFont="1"/>
    <xf numFmtId="9" fontId="4" fillId="0" borderId="0" xfId="5" applyNumberFormat="1" applyFont="1"/>
    <xf numFmtId="164" fontId="4" fillId="0" borderId="0" xfId="5" applyNumberFormat="1" applyFont="1" applyAlignment="1">
      <alignment horizontal="center"/>
    </xf>
    <xf numFmtId="3" fontId="4" fillId="0" borderId="5" xfId="5" applyNumberFormat="1" applyFont="1" applyBorder="1" applyAlignment="1">
      <alignment horizontal="left"/>
    </xf>
    <xf numFmtId="3" fontId="4" fillId="0" borderId="6" xfId="5" applyNumberFormat="1" applyFont="1" applyBorder="1" applyAlignment="1">
      <alignment horizontal="left"/>
    </xf>
    <xf numFmtId="0" fontId="4" fillId="0" borderId="0" xfId="5" applyFont="1" applyAlignment="1">
      <alignment horizontal="center"/>
    </xf>
    <xf numFmtId="0" fontId="4" fillId="0" borderId="0" xfId="5" applyFont="1" applyAlignment="1">
      <alignment horizontal="right"/>
    </xf>
    <xf numFmtId="2" fontId="4" fillId="0" borderId="0" xfId="5" applyNumberFormat="1" applyFont="1" applyAlignment="1">
      <alignment horizontal="center"/>
    </xf>
    <xf numFmtId="5" fontId="4" fillId="0" borderId="0" xfId="5" applyNumberFormat="1" applyFont="1"/>
    <xf numFmtId="0" fontId="15" fillId="0" borderId="0" xfId="5" applyFont="1" applyAlignment="1">
      <alignment horizontal="right"/>
    </xf>
    <xf numFmtId="0" fontId="5" fillId="0" borderId="0" xfId="5" applyFont="1"/>
    <xf numFmtId="164" fontId="4" fillId="0" borderId="0" xfId="5" applyNumberFormat="1" applyFont="1"/>
    <xf numFmtId="10" fontId="4" fillId="0" borderId="0" xfId="5" applyNumberFormat="1" applyFont="1"/>
    <xf numFmtId="8" fontId="4" fillId="0" borderId="0" xfId="5" applyNumberFormat="1" applyFont="1"/>
    <xf numFmtId="7" fontId="4" fillId="0" borderId="0" xfId="5" applyNumberFormat="1" applyFont="1"/>
    <xf numFmtId="180" fontId="4" fillId="0" borderId="5" xfId="0" applyNumberFormat="1" applyFont="1" applyBorder="1" applyAlignment="1">
      <alignment horizontal="center"/>
    </xf>
    <xf numFmtId="180" fontId="4" fillId="0" borderId="6" xfId="0" applyNumberFormat="1" applyFont="1" applyBorder="1" applyAlignment="1">
      <alignment horizontal="center"/>
    </xf>
    <xf numFmtId="180" fontId="4" fillId="0" borderId="0" xfId="0" applyNumberFormat="1" applyFont="1" applyBorder="1" applyAlignment="1">
      <alignment horizontal="center"/>
    </xf>
    <xf numFmtId="180" fontId="4" fillId="0" borderId="1" xfId="0" applyNumberFormat="1" applyFont="1" applyBorder="1" applyAlignment="1">
      <alignment horizontal="center"/>
    </xf>
    <xf numFmtId="8" fontId="4" fillId="0" borderId="0" xfId="6" applyNumberFormat="1" applyFont="1"/>
    <xf numFmtId="3" fontId="4" fillId="0" borderId="0" xfId="0" applyNumberFormat="1" applyFont="1"/>
    <xf numFmtId="182" fontId="4" fillId="0" borderId="0" xfId="0" applyNumberFormat="1" applyFont="1"/>
    <xf numFmtId="5" fontId="4" fillId="0" borderId="0" xfId="0" applyNumberFormat="1" applyFont="1" applyAlignment="1">
      <alignment horizontal="left"/>
    </xf>
    <xf numFmtId="6" fontId="4" fillId="0" borderId="8" xfId="0" applyNumberFormat="1" applyFont="1" applyBorder="1" applyAlignment="1">
      <alignment horizontal="left"/>
    </xf>
    <xf numFmtId="9" fontId="4" fillId="0" borderId="1" xfId="7" applyFont="1" applyBorder="1" applyAlignment="1">
      <alignment horizontal="center"/>
    </xf>
    <xf numFmtId="171" fontId="4" fillId="0" borderId="0" xfId="0" applyNumberFormat="1" applyFont="1"/>
    <xf numFmtId="10" fontId="4" fillId="0" borderId="0" xfId="7" applyNumberFormat="1" applyFont="1" applyBorder="1" applyAlignment="1">
      <alignment horizontal="center"/>
    </xf>
    <xf numFmtId="10" fontId="4" fillId="0" borderId="1" xfId="7" applyNumberFormat="1" applyFont="1" applyBorder="1" applyAlignment="1">
      <alignment horizontal="center"/>
    </xf>
    <xf numFmtId="8" fontId="4" fillId="0" borderId="0" xfId="7" applyNumberFormat="1" applyFont="1"/>
    <xf numFmtId="5" fontId="4" fillId="0" borderId="0" xfId="2" applyFont="1" applyAlignment="1">
      <alignment horizontal="right"/>
    </xf>
    <xf numFmtId="1" fontId="4" fillId="0" borderId="0" xfId="5" applyNumberFormat="1" applyFont="1"/>
    <xf numFmtId="175" fontId="4" fillId="0" borderId="0" xfId="0" applyNumberFormat="1" applyFont="1"/>
    <xf numFmtId="170" fontId="4" fillId="0" borderId="0" xfId="0" applyNumberFormat="1" applyFont="1" applyAlignment="1">
      <alignment horizontal="center"/>
    </xf>
    <xf numFmtId="37" fontId="4" fillId="0" borderId="5" xfId="2" applyNumberFormat="1" applyFont="1" applyBorder="1" applyAlignment="1">
      <alignment horizontal="center"/>
    </xf>
    <xf numFmtId="37" fontId="4" fillId="0" borderId="6" xfId="2" applyNumberFormat="1" applyFont="1" applyBorder="1" applyAlignment="1">
      <alignment horizontal="center"/>
    </xf>
    <xf numFmtId="173" fontId="4" fillId="0" borderId="0" xfId="7" applyNumberFormat="1" applyFont="1"/>
    <xf numFmtId="0" fontId="4" fillId="0" borderId="7" xfId="0" quotePrefix="1" applyFont="1" applyBorder="1" applyAlignment="1">
      <alignment horizontal="left"/>
    </xf>
    <xf numFmtId="0" fontId="4" fillId="0" borderId="0" xfId="0" quotePrefix="1" applyFont="1"/>
    <xf numFmtId="166" fontId="4" fillId="0" borderId="0" xfId="1" applyNumberFormat="1" applyFont="1" applyAlignment="1">
      <alignment horizontal="center" vertical="center"/>
    </xf>
    <xf numFmtId="0" fontId="4" fillId="0" borderId="0" xfId="5" applyFont="1" applyBorder="1"/>
    <xf numFmtId="0" fontId="4" fillId="0" borderId="0" xfId="5" applyFont="1" applyBorder="1" applyAlignment="1">
      <alignment horizontal="left"/>
    </xf>
    <xf numFmtId="0" fontId="4" fillId="0" borderId="0" xfId="0" applyNumberFormat="1" applyFont="1" applyBorder="1"/>
    <xf numFmtId="0" fontId="4" fillId="0" borderId="0" xfId="2" applyNumberFormat="1" applyFont="1" applyBorder="1" applyAlignment="1">
      <alignment horizontal="center"/>
    </xf>
    <xf numFmtId="0" fontId="4" fillId="0" borderId="0" xfId="0" applyNumberFormat="1" applyFont="1" applyBorder="1" applyAlignment="1">
      <alignment horizontal="center"/>
    </xf>
    <xf numFmtId="0" fontId="4" fillId="0" borderId="0" xfId="0" applyNumberFormat="1" applyFont="1" applyBorder="1" applyAlignment="1">
      <alignment horizontal="left"/>
    </xf>
    <xf numFmtId="0" fontId="4" fillId="0" borderId="0" xfId="5" applyNumberFormat="1" applyFont="1" applyBorder="1" applyAlignment="1">
      <alignment horizontal="center"/>
    </xf>
    <xf numFmtId="0" fontId="4" fillId="0" borderId="0" xfId="7" applyNumberFormat="1" applyFont="1" applyBorder="1" applyAlignment="1">
      <alignment horizontal="center"/>
    </xf>
    <xf numFmtId="0" fontId="4" fillId="0" borderId="0" xfId="5" applyNumberFormat="1" applyFont="1" applyBorder="1" applyAlignment="1">
      <alignment horizontal="left"/>
    </xf>
    <xf numFmtId="10" fontId="4" fillId="0" borderId="0" xfId="7" applyNumberFormat="1" applyFont="1" applyBorder="1"/>
    <xf numFmtId="0" fontId="4" fillId="0" borderId="2" xfId="0" applyNumberFormat="1" applyFont="1" applyBorder="1"/>
    <xf numFmtId="0" fontId="4" fillId="0" borderId="3" xfId="0" applyNumberFormat="1" applyFont="1" applyBorder="1"/>
    <xf numFmtId="0" fontId="4" fillId="0" borderId="9" xfId="7" applyNumberFormat="1" applyFont="1" applyBorder="1" applyAlignment="1">
      <alignment horizontal="center"/>
    </xf>
    <xf numFmtId="0" fontId="4" fillId="0" borderId="7" xfId="0" applyNumberFormat="1" applyFont="1" applyBorder="1" applyAlignment="1">
      <alignment horizontal="left"/>
    </xf>
    <xf numFmtId="0" fontId="4" fillId="0" borderId="8" xfId="0" applyNumberFormat="1" applyFont="1" applyBorder="1" applyAlignment="1">
      <alignment horizontal="left"/>
    </xf>
    <xf numFmtId="10" fontId="4" fillId="0" borderId="0" xfId="7" applyNumberFormat="1" applyFont="1" applyBorder="1" applyAlignment="1">
      <alignment horizontal="right"/>
    </xf>
    <xf numFmtId="0" fontId="4" fillId="0" borderId="0" xfId="0" applyNumberFormat="1" applyFont="1" applyBorder="1" applyAlignment="1">
      <alignment horizontal="right"/>
    </xf>
    <xf numFmtId="0" fontId="10" fillId="0" borderId="0" xfId="0" applyFont="1" applyAlignment="1">
      <alignment horizontal="center"/>
    </xf>
    <xf numFmtId="0" fontId="7" fillId="0" borderId="0" xfId="0" applyFont="1" applyAlignment="1">
      <alignment horizontal="center"/>
    </xf>
    <xf numFmtId="0" fontId="13" fillId="0" borderId="5" xfId="4" applyBorder="1" applyAlignment="1" applyProtection="1">
      <alignment horizontal="center" wrapText="1"/>
    </xf>
    <xf numFmtId="0" fontId="13" fillId="0" borderId="0" xfId="4" applyBorder="1" applyAlignment="1" applyProtection="1">
      <alignment horizontal="center" wrapText="1"/>
    </xf>
    <xf numFmtId="0" fontId="10" fillId="0" borderId="0" xfId="0" applyFont="1" applyBorder="1" applyAlignment="1">
      <alignment horizontal="center"/>
    </xf>
    <xf numFmtId="0" fontId="17" fillId="0" borderId="0" xfId="0" applyFont="1" applyAlignment="1">
      <alignment horizontal="center"/>
    </xf>
  </cellXfs>
  <cellStyles count="8">
    <cellStyle name="Comma" xfId="1" builtinId="3"/>
    <cellStyle name="Currency" xfId="2" builtinId="4"/>
    <cellStyle name="Currency [0]_CH7_93F" xfId="3" xr:uid="{00000000-0005-0000-0000-000002000000}"/>
    <cellStyle name="Hyperlink" xfId="4" builtinId="8"/>
    <cellStyle name="Normal" xfId="0" builtinId="0"/>
    <cellStyle name="Normal_BrighamHoustonDemo" xfId="5" xr:uid="{00000000-0005-0000-0000-000005000000}"/>
    <cellStyle name="Normal_CH7_93F" xfId="6" xr:uid="{00000000-0005-0000-0000-000006000000}"/>
    <cellStyle name="Percent"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190500</xdr:colOff>
      <xdr:row>10</xdr:row>
      <xdr:rowOff>38100</xdr:rowOff>
    </xdr:from>
    <xdr:to>
      <xdr:col>2</xdr:col>
      <xdr:colOff>727084</xdr:colOff>
      <xdr:row>14</xdr:row>
      <xdr:rowOff>104775</xdr:rowOff>
    </xdr:to>
    <xdr:sp macro="" textlink="">
      <xdr:nvSpPr>
        <xdr:cNvPr id="2049" name="Text Box 1">
          <a:extLst>
            <a:ext uri="{FF2B5EF4-FFF2-40B4-BE49-F238E27FC236}">
              <a16:creationId xmlns:a16="http://schemas.microsoft.com/office/drawing/2014/main" id="{C7D27637-50D5-4157-B818-34758CB5292C}"/>
            </a:ext>
          </a:extLst>
        </xdr:cNvPr>
        <xdr:cNvSpPr txBox="1">
          <a:spLocks noChangeArrowheads="1"/>
        </xdr:cNvSpPr>
      </xdr:nvSpPr>
      <xdr:spPr bwMode="auto">
        <a:xfrm>
          <a:off x="190500" y="1657350"/>
          <a:ext cx="2162175" cy="7143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MaskXX -- A variable that takes on a value either less than or greater than one.  "XX" is the percentage deviation from unity.</a:t>
          </a: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498474</xdr:colOff>
      <xdr:row>2</xdr:row>
      <xdr:rowOff>146050</xdr:rowOff>
    </xdr:from>
    <xdr:to>
      <xdr:col>7</xdr:col>
      <xdr:colOff>838199</xdr:colOff>
      <xdr:row>6</xdr:row>
      <xdr:rowOff>120650</xdr:rowOff>
    </xdr:to>
    <xdr:sp macro="" textlink="">
      <xdr:nvSpPr>
        <xdr:cNvPr id="11265" name="Text Box 1">
          <a:extLst>
            <a:ext uri="{FF2B5EF4-FFF2-40B4-BE49-F238E27FC236}">
              <a16:creationId xmlns:a16="http://schemas.microsoft.com/office/drawing/2014/main" id="{24549CEF-E0A4-45EC-BF52-72FB3CB42CD6}"/>
            </a:ext>
          </a:extLst>
        </xdr:cNvPr>
        <xdr:cNvSpPr txBox="1">
          <a:spLocks noChangeArrowheads="1"/>
        </xdr:cNvSpPr>
      </xdr:nvSpPr>
      <xdr:spPr bwMode="auto">
        <a:xfrm>
          <a:off x="2339974" y="539750"/>
          <a:ext cx="4943475" cy="762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800" b="0" i="1" u="none" strike="noStrike" baseline="0">
              <a:solidFill>
                <a:srgbClr val="000000"/>
              </a:solidFill>
              <a:latin typeface="Arial"/>
              <a:cs typeface="Arial"/>
            </a:rPr>
            <a:t>Copyright ©2021 by td@elementsOfFinance.net LLC.  All rights reserved.  Usage of the Algogen system, including all printed documents and all original or duplicate electronic files used or created by the system, are subject to restrictions in the End-User-License-Agreement at the end of the Algogen Help Document.  This software may be used for any non-profit purpose whatsoever. The user inherits all liabilities resulting from use of this product and absolves td@elementsOfFinance.net of any &amp; all liability. For-profit use requires approval in advance from td@elementsOfFinance.net </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d/Documents/Algogen/Algogen.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definedNames>
      <definedName name="alpha_ans"/>
      <definedName name="complexV_A"/>
      <definedName name="complexV_B"/>
      <definedName name="complexV_C"/>
      <definedName name="complexV_D"/>
      <definedName name="complexV_E"/>
      <definedName name="irrmixed"/>
      <definedName name="npvmixed"/>
      <definedName name="onepair_A"/>
      <definedName name="onepair_A2"/>
      <definedName name="onepair_B"/>
      <definedName name="onepair_B2"/>
      <definedName name="onepair_C"/>
      <definedName name="onepair_C2"/>
      <definedName name="onepair_D"/>
      <definedName name="onepair_D2"/>
      <definedName name="onepair_E"/>
      <definedName name="onepair_E2"/>
      <definedName name="simpleV_A"/>
      <definedName name="simpleV_B"/>
      <definedName name="simpleV_C"/>
      <definedName name="simpleV_D"/>
      <definedName name="simpleV_E"/>
      <definedName name="standardV_A"/>
      <definedName name="standardV_B"/>
      <definedName name="standardV_C"/>
      <definedName name="standardV_D"/>
      <definedName name="standardV_E"/>
      <definedName name="std_ans"/>
      <definedName name="stdnum_A"/>
      <definedName name="stdnum_B"/>
      <definedName name="stdnum_C"/>
      <definedName name="stdnum_D"/>
      <definedName name="stdnum_E"/>
      <definedName name="stdtf_ans"/>
      <definedName name="stdtf_q"/>
      <definedName name="threechoice_A"/>
      <definedName name="threechoice_ans"/>
      <definedName name="threechoice_B"/>
      <definedName name="threechoice_C"/>
      <definedName name="threepairs_A"/>
      <definedName name="threepairs_A2"/>
      <definedName name="threepairs_B"/>
      <definedName name="threepairs_B2"/>
      <definedName name="threepairs_C"/>
      <definedName name="threepairs_C2"/>
      <definedName name="threepairs_D"/>
      <definedName name="threepairs_D2"/>
      <definedName name="threepairs_E"/>
      <definedName name="threepairs_E2"/>
    </defined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AlgorithmicDocumentGenerator.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8"/>
  <dimension ref="A15:I153"/>
  <sheetViews>
    <sheetView showGridLines="0" topLeftCell="A10" workbookViewId="0">
      <selection activeCell="F26" sqref="F26"/>
    </sheetView>
  </sheetViews>
  <sheetFormatPr defaultColWidth="10.58203125" defaultRowHeight="12.5" x14ac:dyDescent="0.25"/>
  <cols>
    <col min="1" max="16384" width="10.58203125" style="36"/>
  </cols>
  <sheetData>
    <row r="15" spans="1:7" ht="13" x14ac:dyDescent="0.3">
      <c r="D15" s="48" t="s">
        <v>984</v>
      </c>
      <c r="E15" s="48" t="s">
        <v>1198</v>
      </c>
      <c r="F15" s="44" t="s">
        <v>2561</v>
      </c>
    </row>
    <row r="16" spans="1:7" x14ac:dyDescent="0.25">
      <c r="A16" s="41">
        <f ca="1">IF(RANDBETWEEN(0,1)=0,1/1.01,1.01)</f>
        <v>1.01</v>
      </c>
      <c r="B16" s="36" t="s">
        <v>235</v>
      </c>
      <c r="D16" s="45">
        <v>12</v>
      </c>
      <c r="E16" s="45">
        <v>12</v>
      </c>
      <c r="F16" s="45">
        <f ca="1">RANDBETWEEN(0,1)</f>
        <v>1</v>
      </c>
      <c r="G16" s="36" t="s">
        <v>2562</v>
      </c>
    </row>
    <row r="17" spans="1:7" x14ac:dyDescent="0.25">
      <c r="A17" s="41">
        <f ca="1">IF(RANDBETWEEN(0,1)=0,1/1.03,1.03)</f>
        <v>1.03</v>
      </c>
      <c r="B17" s="36" t="s">
        <v>236</v>
      </c>
      <c r="D17" s="45">
        <v>21</v>
      </c>
      <c r="E17" s="45">
        <v>13</v>
      </c>
      <c r="F17" s="45">
        <f ca="1">RANDBETWEEN(0,1)</f>
        <v>1</v>
      </c>
      <c r="G17" s="36" t="s">
        <v>2563</v>
      </c>
    </row>
    <row r="18" spans="1:7" x14ac:dyDescent="0.25">
      <c r="A18" s="41">
        <f ca="1">IF(RANDBETWEEN(0,1)=0,1/1.05,1.05)</f>
        <v>1.05</v>
      </c>
      <c r="B18" s="36" t="s">
        <v>237</v>
      </c>
      <c r="D18" s="45">
        <v>22</v>
      </c>
      <c r="E18" s="45">
        <v>21</v>
      </c>
      <c r="F18" s="45">
        <f ca="1">RANDBETWEEN(0,1)</f>
        <v>0</v>
      </c>
      <c r="G18" s="36" t="s">
        <v>2564</v>
      </c>
    </row>
    <row r="19" spans="1:7" x14ac:dyDescent="0.25">
      <c r="A19" s="41">
        <f ca="1">IF(RANDBETWEEN(0,1)=0,1/1.1,1.1)</f>
        <v>0.90909090909090906</v>
      </c>
      <c r="B19" s="36" t="s">
        <v>2331</v>
      </c>
      <c r="D19" s="45">
        <v>31</v>
      </c>
      <c r="E19" s="45">
        <v>23</v>
      </c>
      <c r="F19" s="45">
        <f ca="1">RANDBETWEEN(0,1)</f>
        <v>1</v>
      </c>
      <c r="G19" s="36" t="s">
        <v>2565</v>
      </c>
    </row>
    <row r="20" spans="1:7" x14ac:dyDescent="0.25">
      <c r="A20" s="41">
        <f ca="1">IF(RANDBETWEEN(0,1)=0,1/1.2,1.2)</f>
        <v>1.2</v>
      </c>
      <c r="B20" s="36" t="s">
        <v>3281</v>
      </c>
      <c r="D20" s="45">
        <v>32</v>
      </c>
      <c r="E20" s="45">
        <v>31</v>
      </c>
      <c r="F20" s="45">
        <f ca="1">RANDBETWEEN(0,1)</f>
        <v>0</v>
      </c>
      <c r="G20" s="36" t="s">
        <v>2566</v>
      </c>
    </row>
    <row r="21" spans="1:7" x14ac:dyDescent="0.25">
      <c r="A21" s="41">
        <f ca="1">IF(RANDBETWEEN(0,1)=0,1/1.25,1.25)</f>
        <v>1.25</v>
      </c>
      <c r="B21" s="36" t="s">
        <v>2267</v>
      </c>
      <c r="E21" s="45">
        <v>32</v>
      </c>
    </row>
    <row r="22" spans="1:7" x14ac:dyDescent="0.25">
      <c r="A22" s="41">
        <f ca="1">IF(RANDBETWEEN(0,1)=0,1/1.3,1.3)</f>
        <v>0.76923076923076916</v>
      </c>
      <c r="B22" s="36" t="s">
        <v>2232</v>
      </c>
    </row>
    <row r="23" spans="1:7" ht="13" x14ac:dyDescent="0.3">
      <c r="A23" s="41">
        <f ca="1">IF(RANDBETWEEN(0,1)=0,1/1.4,1.4)</f>
        <v>0.7142857142857143</v>
      </c>
      <c r="B23" s="36" t="s">
        <v>3282</v>
      </c>
      <c r="D23" s="406" t="s">
        <v>2286</v>
      </c>
      <c r="E23" s="406"/>
      <c r="F23" s="44" t="s">
        <v>1466</v>
      </c>
    </row>
    <row r="24" spans="1:7" x14ac:dyDescent="0.25">
      <c r="A24" s="41">
        <f ca="1">IF(RANDBETWEEN(0,1)=0,1/1.5,1.5)</f>
        <v>1.5</v>
      </c>
      <c r="B24" s="36" t="s">
        <v>3283</v>
      </c>
      <c r="D24" s="45">
        <f ca="1">IF(RANDBETWEEN(0,1)=0,1,-1)</f>
        <v>-1</v>
      </c>
      <c r="E24" s="36" t="s">
        <v>2038</v>
      </c>
      <c r="F24" s="59">
        <f ca="1">(1+RANDBETWEEN(3,7)/100)^(IF(RANDBETWEEN(0,1)=0,1,-1))</f>
        <v>1.03</v>
      </c>
      <c r="G24" s="36" t="s">
        <v>1003</v>
      </c>
    </row>
    <row r="25" spans="1:7" x14ac:dyDescent="0.25">
      <c r="A25" s="41">
        <f ca="1">IF(RANDBETWEEN(0,1)=0,1/1.6,1.6)</f>
        <v>1.6</v>
      </c>
      <c r="B25" s="36" t="s">
        <v>1850</v>
      </c>
      <c r="D25" s="45">
        <f ca="1">IF(RANDBETWEEN(0,1)=0,1,-1)</f>
        <v>1</v>
      </c>
      <c r="E25" s="36" t="s">
        <v>2039</v>
      </c>
      <c r="F25" s="59">
        <f ca="1">(1+RANDBETWEEN(8,13)/100)^(IF(RANDBETWEEN(0,1)=0,1,-1))</f>
        <v>0.88495575221238942</v>
      </c>
      <c r="G25" s="36" t="s">
        <v>1467</v>
      </c>
    </row>
    <row r="26" spans="1:7" x14ac:dyDescent="0.25">
      <c r="A26" s="41">
        <f ca="1">IF(RANDBETWEEN(0,1)=0,1/1.7,1.7)</f>
        <v>1.7</v>
      </c>
      <c r="B26" s="36" t="s">
        <v>1851</v>
      </c>
      <c r="D26" s="45">
        <f ca="1">IF(RANDBETWEEN(0,1)=0,1,-1)</f>
        <v>1</v>
      </c>
      <c r="E26" s="36" t="s">
        <v>2040</v>
      </c>
      <c r="F26" s="59">
        <f ca="1">(1+RANDBETWEEN(18,25)/100)^(IF(RANDBETWEEN(0,1)=0,1,-1))</f>
        <v>1.25</v>
      </c>
      <c r="G26" s="36" t="s">
        <v>1054</v>
      </c>
    </row>
    <row r="27" spans="1:7" x14ac:dyDescent="0.25">
      <c r="A27" s="41">
        <f ca="1">IF(RANDBETWEEN(0,1)=0,1/1.8,1.8)</f>
        <v>1.8</v>
      </c>
      <c r="B27" s="36" t="s">
        <v>1315</v>
      </c>
      <c r="D27" s="45">
        <f ca="1">IF(RANDBETWEEN(0,1)=0,1,-1)</f>
        <v>1</v>
      </c>
      <c r="E27" s="36" t="s">
        <v>2041</v>
      </c>
      <c r="F27" s="59">
        <f ca="1">(1+RANDBETWEEN(26,35)/100)^(IF(RANDBETWEEN(0,1)=0,1,-1))</f>
        <v>1.31</v>
      </c>
      <c r="G27" s="36" t="s">
        <v>1055</v>
      </c>
    </row>
    <row r="28" spans="1:7" x14ac:dyDescent="0.25">
      <c r="A28" s="41">
        <f ca="1">IF(RANDBETWEEN(0,1)=0,1/2,2)</f>
        <v>2</v>
      </c>
      <c r="B28" s="36" t="s">
        <v>3284</v>
      </c>
      <c r="D28" s="45">
        <f ca="1">IF(RANDBETWEEN(0,1)=0,1,-1)</f>
        <v>1</v>
      </c>
      <c r="E28" s="36" t="s">
        <v>3171</v>
      </c>
      <c r="F28" s="59">
        <f ca="1">(1+RANDBETWEEN(36,45)/100)^(IF(RANDBETWEEN(0,1)=0,1,-1))</f>
        <v>0.70422535211267612</v>
      </c>
      <c r="G28" s="36" t="s">
        <v>1056</v>
      </c>
    </row>
    <row r="29" spans="1:7" x14ac:dyDescent="0.25">
      <c r="A29" s="41">
        <f ca="1">IF(RANDBETWEEN(0,1)=0,1/3,3)</f>
        <v>3</v>
      </c>
      <c r="B29" s="36" t="s">
        <v>1268</v>
      </c>
      <c r="F29" s="59">
        <f ca="1">(1+RANDBETWEEN(46,55)/100)^(IF(RANDBETWEEN(0,1)=0,1,-1))</f>
        <v>1.55</v>
      </c>
      <c r="G29" s="36" t="s">
        <v>779</v>
      </c>
    </row>
    <row r="30" spans="1:7" x14ac:dyDescent="0.25">
      <c r="F30" s="59">
        <f ca="1">(1+RANDBETWEEN(1,2)/100)^(IF(RANDBETWEEN(0,1)=0,1,-1))</f>
        <v>1.02</v>
      </c>
      <c r="G30" s="36" t="s">
        <v>1329</v>
      </c>
    </row>
    <row r="31" spans="1:7" x14ac:dyDescent="0.25">
      <c r="F31" s="59">
        <f ca="1">(1+RANDBETWEEN(14,17)/100)^(IF(RANDBETWEEN(0,1)=0,1,-1))</f>
        <v>0.86206896551724144</v>
      </c>
      <c r="G31" s="36" t="s">
        <v>1421</v>
      </c>
    </row>
    <row r="32" spans="1:7" ht="15.5" x14ac:dyDescent="0.35">
      <c r="A32" s="2"/>
      <c r="B32" s="2"/>
      <c r="C32" s="2"/>
      <c r="F32" s="406" t="s">
        <v>3641</v>
      </c>
      <c r="G32" s="406"/>
    </row>
    <row r="33" spans="1:9" x14ac:dyDescent="0.25">
      <c r="A33" s="45"/>
      <c r="B33" s="45"/>
      <c r="C33" s="45"/>
      <c r="E33" s="36" t="s">
        <v>2801</v>
      </c>
      <c r="F33" s="36" t="s">
        <v>3642</v>
      </c>
      <c r="G33" s="36" t="s">
        <v>633</v>
      </c>
      <c r="H33" s="36" t="s">
        <v>1223</v>
      </c>
      <c r="I33" s="36" t="s">
        <v>3026</v>
      </c>
    </row>
    <row r="34" spans="1:9" x14ac:dyDescent="0.25">
      <c r="A34" s="45"/>
      <c r="B34" s="45"/>
      <c r="C34" s="45"/>
      <c r="E34" s="45">
        <f ca="1">RANDBETWEEN(1,3)</f>
        <v>1</v>
      </c>
      <c r="F34" s="45">
        <v>12</v>
      </c>
      <c r="G34" s="45">
        <v>123</v>
      </c>
      <c r="H34" s="45">
        <v>12</v>
      </c>
      <c r="I34" s="45">
        <v>1234</v>
      </c>
    </row>
    <row r="35" spans="1:9" x14ac:dyDescent="0.25">
      <c r="A35" s="45"/>
      <c r="B35" s="45"/>
      <c r="C35" s="45"/>
      <c r="F35" s="45">
        <v>13</v>
      </c>
      <c r="G35" s="45">
        <v>124</v>
      </c>
      <c r="H35" s="45">
        <v>13</v>
      </c>
      <c r="I35" s="45">
        <v>1235</v>
      </c>
    </row>
    <row r="36" spans="1:9" x14ac:dyDescent="0.25">
      <c r="A36" s="45"/>
      <c r="B36" s="45"/>
      <c r="C36" s="45"/>
      <c r="F36" s="45">
        <v>14</v>
      </c>
      <c r="G36" s="45">
        <v>125</v>
      </c>
      <c r="H36" s="45">
        <v>14</v>
      </c>
      <c r="I36" s="45">
        <v>1236</v>
      </c>
    </row>
    <row r="37" spans="1:9" x14ac:dyDescent="0.25">
      <c r="A37" s="45"/>
      <c r="B37" s="45"/>
      <c r="C37" s="45"/>
      <c r="F37" s="45">
        <v>15</v>
      </c>
      <c r="G37" s="45">
        <v>132</v>
      </c>
      <c r="H37" s="45">
        <v>21</v>
      </c>
      <c r="I37" s="45">
        <v>1246</v>
      </c>
    </row>
    <row r="38" spans="1:9" x14ac:dyDescent="0.25">
      <c r="A38" s="45"/>
      <c r="B38" s="45"/>
      <c r="C38" s="45"/>
      <c r="F38" s="45">
        <v>21</v>
      </c>
      <c r="G38" s="45">
        <v>134</v>
      </c>
      <c r="H38" s="45">
        <v>23</v>
      </c>
      <c r="I38" s="45">
        <v>1245</v>
      </c>
    </row>
    <row r="39" spans="1:9" x14ac:dyDescent="0.25">
      <c r="A39" s="45"/>
      <c r="B39" s="45"/>
      <c r="C39" s="45"/>
      <c r="F39" s="45">
        <v>23</v>
      </c>
      <c r="G39" s="45">
        <v>135</v>
      </c>
      <c r="H39" s="45">
        <v>24</v>
      </c>
      <c r="I39" s="45">
        <v>1256</v>
      </c>
    </row>
    <row r="40" spans="1:9" x14ac:dyDescent="0.25">
      <c r="A40" s="45"/>
      <c r="B40" s="45"/>
      <c r="F40" s="45">
        <v>24</v>
      </c>
      <c r="G40" s="45">
        <v>142</v>
      </c>
      <c r="H40" s="45">
        <v>31</v>
      </c>
      <c r="I40" s="45">
        <v>1345</v>
      </c>
    </row>
    <row r="41" spans="1:9" x14ac:dyDescent="0.25">
      <c r="A41" s="45"/>
      <c r="B41" s="45"/>
      <c r="F41" s="45">
        <v>25</v>
      </c>
      <c r="G41" s="45">
        <v>143</v>
      </c>
      <c r="H41" s="45">
        <v>32</v>
      </c>
      <c r="I41" s="45">
        <v>1346</v>
      </c>
    </row>
    <row r="42" spans="1:9" x14ac:dyDescent="0.25">
      <c r="A42" s="45"/>
      <c r="B42" s="45"/>
      <c r="F42" s="45">
        <v>31</v>
      </c>
      <c r="G42" s="45">
        <v>145</v>
      </c>
      <c r="H42" s="45">
        <v>34</v>
      </c>
      <c r="I42" s="45">
        <v>1356</v>
      </c>
    </row>
    <row r="43" spans="1:9" x14ac:dyDescent="0.25">
      <c r="A43" s="45"/>
      <c r="B43" s="45"/>
      <c r="F43" s="45">
        <v>32</v>
      </c>
      <c r="G43" s="45">
        <v>152</v>
      </c>
      <c r="H43" s="45">
        <v>41</v>
      </c>
      <c r="I43" s="45">
        <v>1456</v>
      </c>
    </row>
    <row r="44" spans="1:9" x14ac:dyDescent="0.25">
      <c r="A44" s="45"/>
      <c r="B44" s="45"/>
      <c r="F44" s="45">
        <v>34</v>
      </c>
      <c r="G44" s="45">
        <v>153</v>
      </c>
      <c r="H44" s="45">
        <v>42</v>
      </c>
      <c r="I44" s="45">
        <v>2345</v>
      </c>
    </row>
    <row r="45" spans="1:9" x14ac:dyDescent="0.25">
      <c r="A45" s="45"/>
      <c r="B45" s="45"/>
      <c r="F45" s="45">
        <v>35</v>
      </c>
      <c r="G45" s="45">
        <v>154</v>
      </c>
      <c r="H45" s="45">
        <v>43</v>
      </c>
      <c r="I45" s="45">
        <v>2346</v>
      </c>
    </row>
    <row r="46" spans="1:9" x14ac:dyDescent="0.25">
      <c r="A46" s="45"/>
      <c r="B46" s="45"/>
      <c r="F46" s="45">
        <v>41</v>
      </c>
      <c r="G46" s="45">
        <v>213</v>
      </c>
      <c r="I46" s="45">
        <v>2356</v>
      </c>
    </row>
    <row r="47" spans="1:9" x14ac:dyDescent="0.25">
      <c r="A47" s="45"/>
      <c r="B47" s="45"/>
      <c r="F47" s="45">
        <v>42</v>
      </c>
      <c r="G47" s="45">
        <v>214</v>
      </c>
      <c r="I47" s="45">
        <v>2456</v>
      </c>
    </row>
    <row r="48" spans="1:9" x14ac:dyDescent="0.25">
      <c r="A48" s="45"/>
      <c r="B48" s="45"/>
      <c r="F48" s="45">
        <v>43</v>
      </c>
      <c r="G48" s="45">
        <v>215</v>
      </c>
      <c r="I48" s="45">
        <v>3456</v>
      </c>
    </row>
    <row r="49" spans="1:7" x14ac:dyDescent="0.25">
      <c r="A49" s="45"/>
      <c r="B49" s="45"/>
      <c r="F49" s="45">
        <v>45</v>
      </c>
      <c r="G49" s="45">
        <v>231</v>
      </c>
    </row>
    <row r="50" spans="1:7" x14ac:dyDescent="0.25">
      <c r="A50" s="45"/>
      <c r="B50" s="45"/>
      <c r="F50" s="45">
        <v>51</v>
      </c>
      <c r="G50" s="45">
        <v>234</v>
      </c>
    </row>
    <row r="51" spans="1:7" x14ac:dyDescent="0.25">
      <c r="A51" s="45"/>
      <c r="B51" s="45"/>
      <c r="F51" s="45">
        <v>52</v>
      </c>
      <c r="G51" s="45">
        <v>235</v>
      </c>
    </row>
    <row r="52" spans="1:7" x14ac:dyDescent="0.25">
      <c r="A52" s="45"/>
      <c r="B52" s="45"/>
      <c r="F52" s="45">
        <v>53</v>
      </c>
      <c r="G52" s="45">
        <v>241</v>
      </c>
    </row>
    <row r="53" spans="1:7" x14ac:dyDescent="0.25">
      <c r="A53" s="45"/>
      <c r="B53" s="45"/>
      <c r="F53" s="45">
        <v>54</v>
      </c>
      <c r="G53" s="45">
        <v>243</v>
      </c>
    </row>
    <row r="54" spans="1:7" x14ac:dyDescent="0.25">
      <c r="A54" s="45"/>
      <c r="B54" s="45"/>
      <c r="G54" s="45">
        <v>245</v>
      </c>
    </row>
    <row r="55" spans="1:7" x14ac:dyDescent="0.25">
      <c r="A55" s="45"/>
      <c r="B55" s="45"/>
      <c r="G55" s="45">
        <v>251</v>
      </c>
    </row>
    <row r="56" spans="1:7" x14ac:dyDescent="0.25">
      <c r="A56" s="45"/>
      <c r="B56" s="45"/>
      <c r="G56" s="45">
        <v>253</v>
      </c>
    </row>
    <row r="57" spans="1:7" x14ac:dyDescent="0.25">
      <c r="A57" s="45"/>
      <c r="B57" s="45"/>
      <c r="G57" s="45">
        <v>254</v>
      </c>
    </row>
    <row r="58" spans="1:7" x14ac:dyDescent="0.25">
      <c r="A58" s="45"/>
      <c r="G58" s="45">
        <v>312</v>
      </c>
    </row>
    <row r="59" spans="1:7" x14ac:dyDescent="0.25">
      <c r="A59" s="45"/>
      <c r="G59" s="45">
        <v>314</v>
      </c>
    </row>
    <row r="60" spans="1:7" x14ac:dyDescent="0.25">
      <c r="A60" s="45"/>
      <c r="G60" s="45">
        <v>315</v>
      </c>
    </row>
    <row r="61" spans="1:7" x14ac:dyDescent="0.25">
      <c r="A61" s="45"/>
      <c r="G61" s="45">
        <v>321</v>
      </c>
    </row>
    <row r="62" spans="1:7" x14ac:dyDescent="0.25">
      <c r="A62" s="45"/>
      <c r="G62" s="45">
        <v>324</v>
      </c>
    </row>
    <row r="63" spans="1:7" x14ac:dyDescent="0.25">
      <c r="A63" s="45"/>
      <c r="G63" s="45">
        <v>325</v>
      </c>
    </row>
    <row r="64" spans="1:7" x14ac:dyDescent="0.25">
      <c r="A64" s="45"/>
      <c r="G64" s="45">
        <v>341</v>
      </c>
    </row>
    <row r="65" spans="1:7" x14ac:dyDescent="0.25">
      <c r="A65" s="45"/>
      <c r="G65" s="45">
        <v>342</v>
      </c>
    </row>
    <row r="66" spans="1:7" x14ac:dyDescent="0.25">
      <c r="A66" s="45"/>
      <c r="G66" s="45">
        <v>345</v>
      </c>
    </row>
    <row r="67" spans="1:7" x14ac:dyDescent="0.25">
      <c r="A67" s="45"/>
      <c r="G67" s="45">
        <v>351</v>
      </c>
    </row>
    <row r="68" spans="1:7" x14ac:dyDescent="0.25">
      <c r="A68" s="45"/>
      <c r="G68" s="45">
        <v>352</v>
      </c>
    </row>
    <row r="69" spans="1:7" x14ac:dyDescent="0.25">
      <c r="A69" s="45"/>
      <c r="G69" s="45">
        <v>354</v>
      </c>
    </row>
    <row r="70" spans="1:7" x14ac:dyDescent="0.25">
      <c r="A70" s="45"/>
      <c r="G70" s="45">
        <v>412</v>
      </c>
    </row>
    <row r="71" spans="1:7" x14ac:dyDescent="0.25">
      <c r="A71" s="45"/>
      <c r="G71" s="45">
        <v>413</v>
      </c>
    </row>
    <row r="72" spans="1:7" x14ac:dyDescent="0.25">
      <c r="A72" s="45"/>
      <c r="G72" s="45">
        <v>415</v>
      </c>
    </row>
    <row r="73" spans="1:7" x14ac:dyDescent="0.25">
      <c r="A73" s="45"/>
      <c r="G73" s="45">
        <v>421</v>
      </c>
    </row>
    <row r="74" spans="1:7" x14ac:dyDescent="0.25">
      <c r="A74" s="45"/>
      <c r="G74" s="45">
        <v>423</v>
      </c>
    </row>
    <row r="75" spans="1:7" x14ac:dyDescent="0.25">
      <c r="A75" s="45"/>
      <c r="G75" s="45">
        <v>425</v>
      </c>
    </row>
    <row r="76" spans="1:7" x14ac:dyDescent="0.25">
      <c r="A76" s="45"/>
      <c r="G76" s="45">
        <v>431</v>
      </c>
    </row>
    <row r="77" spans="1:7" x14ac:dyDescent="0.25">
      <c r="A77" s="45"/>
      <c r="G77" s="45">
        <v>432</v>
      </c>
    </row>
    <row r="78" spans="1:7" x14ac:dyDescent="0.25">
      <c r="A78" s="45"/>
      <c r="G78" s="45">
        <v>435</v>
      </c>
    </row>
    <row r="79" spans="1:7" x14ac:dyDescent="0.25">
      <c r="A79" s="45"/>
      <c r="G79" s="45">
        <v>451</v>
      </c>
    </row>
    <row r="80" spans="1:7" x14ac:dyDescent="0.25">
      <c r="A80" s="45"/>
      <c r="G80" s="45">
        <v>452</v>
      </c>
    </row>
    <row r="81" spans="1:7" x14ac:dyDescent="0.25">
      <c r="A81" s="45"/>
      <c r="G81" s="45">
        <v>453</v>
      </c>
    </row>
    <row r="82" spans="1:7" x14ac:dyDescent="0.25">
      <c r="A82" s="45"/>
      <c r="G82" s="45">
        <v>512</v>
      </c>
    </row>
    <row r="83" spans="1:7" x14ac:dyDescent="0.25">
      <c r="A83" s="45"/>
      <c r="G83" s="45">
        <v>513</v>
      </c>
    </row>
    <row r="84" spans="1:7" x14ac:dyDescent="0.25">
      <c r="A84" s="45"/>
      <c r="G84" s="45">
        <v>514</v>
      </c>
    </row>
    <row r="85" spans="1:7" x14ac:dyDescent="0.25">
      <c r="A85" s="45"/>
      <c r="G85" s="45">
        <v>521</v>
      </c>
    </row>
    <row r="86" spans="1:7" x14ac:dyDescent="0.25">
      <c r="A86" s="45"/>
      <c r="G86" s="45">
        <v>523</v>
      </c>
    </row>
    <row r="87" spans="1:7" x14ac:dyDescent="0.25">
      <c r="A87" s="45"/>
      <c r="G87" s="45">
        <v>524</v>
      </c>
    </row>
    <row r="88" spans="1:7" x14ac:dyDescent="0.25">
      <c r="A88" s="45"/>
      <c r="G88" s="45">
        <v>531</v>
      </c>
    </row>
    <row r="89" spans="1:7" x14ac:dyDescent="0.25">
      <c r="A89" s="45"/>
      <c r="G89" s="45">
        <v>532</v>
      </c>
    </row>
    <row r="90" spans="1:7" x14ac:dyDescent="0.25">
      <c r="A90" s="45"/>
      <c r="G90" s="45">
        <v>534</v>
      </c>
    </row>
    <row r="91" spans="1:7" x14ac:dyDescent="0.25">
      <c r="A91" s="45"/>
      <c r="G91" s="45">
        <v>541</v>
      </c>
    </row>
    <row r="92" spans="1:7" x14ac:dyDescent="0.25">
      <c r="A92" s="45"/>
      <c r="G92" s="45">
        <v>542</v>
      </c>
    </row>
    <row r="93" spans="1:7" x14ac:dyDescent="0.25">
      <c r="A93" s="45"/>
      <c r="G93" s="45">
        <v>543</v>
      </c>
    </row>
    <row r="94" spans="1:7" x14ac:dyDescent="0.25">
      <c r="A94" s="45"/>
    </row>
    <row r="95" spans="1:7" x14ac:dyDescent="0.25">
      <c r="A95" s="45"/>
    </row>
    <row r="96" spans="1:7" x14ac:dyDescent="0.25">
      <c r="A96" s="45"/>
    </row>
    <row r="97" spans="1:1" x14ac:dyDescent="0.25">
      <c r="A97" s="45"/>
    </row>
    <row r="98" spans="1:1" x14ac:dyDescent="0.25">
      <c r="A98" s="45"/>
    </row>
    <row r="99" spans="1:1" x14ac:dyDescent="0.25">
      <c r="A99" s="45"/>
    </row>
    <row r="100" spans="1:1" x14ac:dyDescent="0.25">
      <c r="A100" s="45"/>
    </row>
    <row r="101" spans="1:1" x14ac:dyDescent="0.25">
      <c r="A101" s="45"/>
    </row>
    <row r="102" spans="1:1" x14ac:dyDescent="0.25">
      <c r="A102" s="45"/>
    </row>
    <row r="103" spans="1:1" x14ac:dyDescent="0.25">
      <c r="A103" s="45"/>
    </row>
    <row r="104" spans="1:1" x14ac:dyDescent="0.25">
      <c r="A104" s="45"/>
    </row>
    <row r="105" spans="1:1" x14ac:dyDescent="0.25">
      <c r="A105" s="45"/>
    </row>
    <row r="106" spans="1:1" x14ac:dyDescent="0.25">
      <c r="A106" s="45"/>
    </row>
    <row r="107" spans="1:1" x14ac:dyDescent="0.25">
      <c r="A107" s="45"/>
    </row>
    <row r="108" spans="1:1" x14ac:dyDescent="0.25">
      <c r="A108" s="45"/>
    </row>
    <row r="109" spans="1:1" x14ac:dyDescent="0.25">
      <c r="A109" s="45"/>
    </row>
    <row r="110" spans="1:1" x14ac:dyDescent="0.25">
      <c r="A110" s="45"/>
    </row>
    <row r="111" spans="1:1" x14ac:dyDescent="0.25">
      <c r="A111" s="45"/>
    </row>
    <row r="112" spans="1:1" x14ac:dyDescent="0.25">
      <c r="A112" s="45"/>
    </row>
    <row r="113" spans="1:1" x14ac:dyDescent="0.25">
      <c r="A113" s="45"/>
    </row>
    <row r="114" spans="1:1" x14ac:dyDescent="0.25">
      <c r="A114" s="45"/>
    </row>
    <row r="115" spans="1:1" x14ac:dyDescent="0.25">
      <c r="A115" s="45"/>
    </row>
    <row r="116" spans="1:1" x14ac:dyDescent="0.25">
      <c r="A116" s="45"/>
    </row>
    <row r="117" spans="1:1" x14ac:dyDescent="0.25">
      <c r="A117" s="45"/>
    </row>
    <row r="118" spans="1:1" x14ac:dyDescent="0.25">
      <c r="A118" s="45"/>
    </row>
    <row r="119" spans="1:1" x14ac:dyDescent="0.25">
      <c r="A119" s="45"/>
    </row>
    <row r="120" spans="1:1" x14ac:dyDescent="0.25">
      <c r="A120" s="45"/>
    </row>
    <row r="121" spans="1:1" x14ac:dyDescent="0.25">
      <c r="A121" s="45"/>
    </row>
    <row r="122" spans="1:1" x14ac:dyDescent="0.25">
      <c r="A122" s="45"/>
    </row>
    <row r="123" spans="1:1" x14ac:dyDescent="0.25">
      <c r="A123" s="45"/>
    </row>
    <row r="124" spans="1:1" x14ac:dyDescent="0.25">
      <c r="A124" s="45"/>
    </row>
    <row r="125" spans="1:1" x14ac:dyDescent="0.25">
      <c r="A125" s="45"/>
    </row>
    <row r="126" spans="1:1" x14ac:dyDescent="0.25">
      <c r="A126" s="45"/>
    </row>
    <row r="127" spans="1:1" x14ac:dyDescent="0.25">
      <c r="A127" s="45"/>
    </row>
    <row r="128" spans="1:1" x14ac:dyDescent="0.25">
      <c r="A128" s="45"/>
    </row>
    <row r="129" spans="1:1" x14ac:dyDescent="0.25">
      <c r="A129" s="45"/>
    </row>
    <row r="130" spans="1:1" x14ac:dyDescent="0.25">
      <c r="A130" s="45"/>
    </row>
    <row r="131" spans="1:1" x14ac:dyDescent="0.25">
      <c r="A131" s="45"/>
    </row>
    <row r="132" spans="1:1" x14ac:dyDescent="0.25">
      <c r="A132" s="45"/>
    </row>
    <row r="133" spans="1:1" x14ac:dyDescent="0.25">
      <c r="A133" s="45"/>
    </row>
    <row r="134" spans="1:1" x14ac:dyDescent="0.25">
      <c r="A134" s="45"/>
    </row>
    <row r="135" spans="1:1" x14ac:dyDescent="0.25">
      <c r="A135" s="45"/>
    </row>
    <row r="136" spans="1:1" x14ac:dyDescent="0.25">
      <c r="A136" s="45"/>
    </row>
    <row r="137" spans="1:1" x14ac:dyDescent="0.25">
      <c r="A137" s="45"/>
    </row>
    <row r="138" spans="1:1" x14ac:dyDescent="0.25">
      <c r="A138" s="45"/>
    </row>
    <row r="139" spans="1:1" x14ac:dyDescent="0.25">
      <c r="A139" s="45"/>
    </row>
    <row r="140" spans="1:1" x14ac:dyDescent="0.25">
      <c r="A140" s="45"/>
    </row>
    <row r="141" spans="1:1" x14ac:dyDescent="0.25">
      <c r="A141" s="45"/>
    </row>
    <row r="142" spans="1:1" x14ac:dyDescent="0.25">
      <c r="A142" s="45"/>
    </row>
    <row r="143" spans="1:1" x14ac:dyDescent="0.25">
      <c r="A143" s="45"/>
    </row>
    <row r="144" spans="1:1" x14ac:dyDescent="0.25">
      <c r="A144" s="45"/>
    </row>
    <row r="145" spans="1:1" x14ac:dyDescent="0.25">
      <c r="A145" s="45"/>
    </row>
    <row r="146" spans="1:1" x14ac:dyDescent="0.25">
      <c r="A146" s="45"/>
    </row>
    <row r="147" spans="1:1" x14ac:dyDescent="0.25">
      <c r="A147" s="45"/>
    </row>
    <row r="148" spans="1:1" x14ac:dyDescent="0.25">
      <c r="A148" s="45"/>
    </row>
    <row r="149" spans="1:1" x14ac:dyDescent="0.25">
      <c r="A149" s="45"/>
    </row>
    <row r="150" spans="1:1" x14ac:dyDescent="0.25">
      <c r="A150" s="45"/>
    </row>
    <row r="151" spans="1:1" x14ac:dyDescent="0.25">
      <c r="A151" s="45"/>
    </row>
    <row r="152" spans="1:1" x14ac:dyDescent="0.25">
      <c r="A152" s="45"/>
    </row>
    <row r="153" spans="1:1" x14ac:dyDescent="0.25">
      <c r="A153" s="45"/>
    </row>
  </sheetData>
  <mergeCells count="2">
    <mergeCell ref="D23:E23"/>
    <mergeCell ref="F32:G32"/>
  </mergeCells>
  <phoneticPr fontId="0" type="noConversion"/>
  <pageMargins left="0.75" right="0.75" top="1" bottom="1" header="0.5" footer="0.5"/>
  <pageSetup orientation="portrait" horizont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dimension ref="A10:X836"/>
  <sheetViews>
    <sheetView zoomScale="115" zoomScaleNormal="115" workbookViewId="0"/>
  </sheetViews>
  <sheetFormatPr defaultColWidth="10.58203125" defaultRowHeight="15.5" x14ac:dyDescent="0.35"/>
  <cols>
    <col min="1" max="5" width="10.58203125" style="2" customWidth="1"/>
    <col min="6" max="6" width="12.08203125" style="2" customWidth="1"/>
    <col min="7" max="16384" width="10.58203125" style="2"/>
  </cols>
  <sheetData>
    <row r="10" spans="1:8" x14ac:dyDescent="0.35">
      <c r="A10" s="88" t="s">
        <v>2338</v>
      </c>
    </row>
    <row r="11" spans="1:8" x14ac:dyDescent="0.35">
      <c r="A11" s="14">
        <f ca="1">RANDBETWEEN(140,280)/1000</f>
        <v>0.21299999999999999</v>
      </c>
      <c r="B11" s="2" t="s">
        <v>781</v>
      </c>
      <c r="E11" s="34">
        <f ca="1">1-A13</f>
        <v>0.25</v>
      </c>
      <c r="F11" s="2" t="s">
        <v>780</v>
      </c>
    </row>
    <row r="12" spans="1:8" x14ac:dyDescent="0.35">
      <c r="A12" s="15">
        <f ca="1">A11+(IF(RANDBETWEEN(0,1)=0,1,-1))*RANDBETWEEN(50,100)/1000</f>
        <v>0.11599999999999999</v>
      </c>
      <c r="B12" s="2" t="s">
        <v>1251</v>
      </c>
      <c r="E12" s="14">
        <f ca="1">A13*A11+E11*A12</f>
        <v>0.18875</v>
      </c>
      <c r="F12" s="2" t="s">
        <v>1253</v>
      </c>
    </row>
    <row r="13" spans="1:8" x14ac:dyDescent="0.35">
      <c r="A13" s="12">
        <f ca="1">RANDBETWEEN(7,16)*5/100</f>
        <v>0.75</v>
      </c>
      <c r="B13" s="2" t="s">
        <v>1252</v>
      </c>
      <c r="E13" s="14">
        <f ca="1">(A13^2*A11^2+E11^2*A12^2)^0.5</f>
        <v>0.16236090200537814</v>
      </c>
      <c r="F13" s="2" t="s">
        <v>1254</v>
      </c>
    </row>
    <row r="14" spans="1:8" x14ac:dyDescent="0.35">
      <c r="E14" s="14">
        <f ca="1">E12-E13</f>
        <v>2.6389097994621857E-2</v>
      </c>
      <c r="F14" s="2" t="s">
        <v>1255</v>
      </c>
    </row>
    <row r="15" spans="1:8" ht="16" thickBot="1" x14ac:dyDescent="0.4"/>
    <row r="16" spans="1:8" ht="16.5" thickTop="1" thickBot="1" x14ac:dyDescent="0.4">
      <c r="B16" s="76" t="str">
        <f ca="1">[1]!std_ans($C$16)</f>
        <v>A</v>
      </c>
      <c r="C16" s="79" t="str">
        <f ca="1" xml:space="preserve"> "/\" &amp;RANDBETWEEN( 1,120) &amp; "/\" &amp;RANDBETWEEN( 1,120) &amp; "/\" &amp;0.1 &amp; "/\" &amp; E14</f>
        <v>/\8/\47/\0.1/\0.0263890979946219</v>
      </c>
      <c r="D16" s="80" t="s">
        <v>3151</v>
      </c>
      <c r="F16" s="76" t="str">
        <f ca="1">[1]!std_ans($G$16)</f>
        <v>A</v>
      </c>
      <c r="G16" s="79" t="str">
        <f ca="1" xml:space="preserve"> "/\" &amp;RANDBETWEEN( 1,120) &amp; "/\" &amp;RANDBETWEEN( 1,120) &amp; "/\" &amp;0.1 &amp; "/\" &amp; E13</f>
        <v>/\16/\109/\0.1/\0.162360902005378</v>
      </c>
      <c r="H16" s="80" t="s">
        <v>3152</v>
      </c>
    </row>
    <row r="17" spans="1:8" ht="16" thickTop="1" x14ac:dyDescent="0.35">
      <c r="B17" s="92">
        <f ca="1">[1]!stdnum_A($C$16)</f>
        <v>2.6389097994621899E-2</v>
      </c>
      <c r="C17" s="82"/>
      <c r="D17" s="77"/>
      <c r="F17" s="92">
        <f ca="1">[1]!stdnum_A($G$16)</f>
        <v>0.162360902005378</v>
      </c>
      <c r="G17" s="82"/>
      <c r="H17" s="77"/>
    </row>
    <row r="18" spans="1:8" x14ac:dyDescent="0.35">
      <c r="B18" s="92">
        <f ca="1">[1]!stdnum_B($C$16)</f>
        <v>3.1930808573492502E-2</v>
      </c>
      <c r="C18" s="82"/>
      <c r="D18" s="77"/>
      <c r="F18" s="92">
        <f ca="1">[1]!stdnum_B($G$16)</f>
        <v>0.12198414876437112</v>
      </c>
      <c r="G18" s="82"/>
      <c r="H18" s="77"/>
    </row>
    <row r="19" spans="1:8" x14ac:dyDescent="0.35">
      <c r="B19" s="92">
        <f ca="1">[1]!stdnum_C($C$16)</f>
        <v>3.5123889430841757E-2</v>
      </c>
      <c r="C19" s="82"/>
      <c r="D19" s="77"/>
      <c r="F19" s="92">
        <f ca="1">[1]!stdnum_C($G$16)</f>
        <v>0.11089468069488284</v>
      </c>
      <c r="G19" s="82"/>
      <c r="H19" s="77"/>
    </row>
    <row r="20" spans="1:8" x14ac:dyDescent="0.35">
      <c r="B20" s="92">
        <f ca="1">[1]!stdnum_D($C$16)</f>
        <v>2.9028007794084092E-2</v>
      </c>
      <c r="C20" s="82"/>
      <c r="D20" s="77"/>
      <c r="F20" s="92">
        <f ca="1">[1]!stdnum_D($G$16)</f>
        <v>0.14760082000488908</v>
      </c>
      <c r="G20" s="82"/>
      <c r="H20" s="77"/>
    </row>
    <row r="21" spans="1:8" ht="16" thickBot="1" x14ac:dyDescent="0.4">
      <c r="B21" s="93">
        <f ca="1">[1]!stdnum_E($C$16)</f>
        <v>2.3990089086019906E-2</v>
      </c>
      <c r="C21" s="84"/>
      <c r="D21" s="78"/>
      <c r="F21" s="93">
        <f ca="1">[1]!stdnum_E($G$16)</f>
        <v>0.13418256364080824</v>
      </c>
      <c r="G21" s="84"/>
      <c r="H21" s="78"/>
    </row>
    <row r="22" spans="1:8" ht="16" thickTop="1" x14ac:dyDescent="0.35"/>
    <row r="24" spans="1:8" x14ac:dyDescent="0.35">
      <c r="A24" s="88" t="s">
        <v>2335</v>
      </c>
    </row>
    <row r="25" spans="1:8" x14ac:dyDescent="0.35">
      <c r="B25" s="2" t="s">
        <v>346</v>
      </c>
      <c r="C25" s="2" t="s">
        <v>347</v>
      </c>
    </row>
    <row r="26" spans="1:8" x14ac:dyDescent="0.35">
      <c r="A26" s="2" t="s">
        <v>211</v>
      </c>
      <c r="B26" s="12">
        <f ca="1">RANDBETWEEN(3,9)*5/100</f>
        <v>0.3</v>
      </c>
      <c r="C26" s="12">
        <f ca="1">1-B26</f>
        <v>0.7</v>
      </c>
      <c r="E26" s="2" t="s">
        <v>349</v>
      </c>
      <c r="F26" s="2" t="s">
        <v>348</v>
      </c>
    </row>
    <row r="27" spans="1:8" x14ac:dyDescent="0.35">
      <c r="A27" s="2" t="s">
        <v>344</v>
      </c>
      <c r="B27" s="12">
        <f ca="1">RANDBETWEEN(1,4)*5/100</f>
        <v>0.1</v>
      </c>
      <c r="C27" s="12">
        <f ca="1">RANDBETWEEN(5,10)*5/100</f>
        <v>0.5</v>
      </c>
      <c r="E27" s="15">
        <f ca="1">B26*B27+C26*C27</f>
        <v>0.38</v>
      </c>
      <c r="F27" s="15">
        <f ca="1">(B26*(B27-E27)^2+C26*(C27-E27)^2)^0.5</f>
        <v>0.18330302779823363</v>
      </c>
    </row>
    <row r="28" spans="1:8" x14ac:dyDescent="0.35">
      <c r="A28" s="2" t="s">
        <v>345</v>
      </c>
      <c r="B28" s="12">
        <f ca="1">ROUND(C27*(1+RANDBETWEEN(16,25)/100)^(IF(RANDBETWEEN(0,1)=0,1,-1)),2)</f>
        <v>0.61</v>
      </c>
      <c r="C28" s="12">
        <f ca="1">ROUND(B27*(1+RANDBETWEEN(16,25)/100)^(IF(RANDBETWEEN(0,1)=0,1,-1)),2)</f>
        <v>0.12</v>
      </c>
      <c r="E28" s="15">
        <f ca="1">B26*B28+C26*C28</f>
        <v>0.26700000000000002</v>
      </c>
      <c r="F28" s="15">
        <f ca="1">(B26*(B28-E28)^2+C26*(C28-E28)^2)^0.5</f>
        <v>0.22454620905283615</v>
      </c>
    </row>
    <row r="29" spans="1:8" x14ac:dyDescent="0.35">
      <c r="A29" s="2" t="s">
        <v>350</v>
      </c>
      <c r="B29" s="12">
        <f ca="1">RANDBETWEEN(3,7)/10</f>
        <v>0.3</v>
      </c>
      <c r="C29" s="12">
        <f ca="1">1-B29</f>
        <v>0.7</v>
      </c>
      <c r="E29" s="15"/>
      <c r="F29" s="15"/>
      <c r="G29" s="9">
        <f ca="1">B29*F27+C29*F28</f>
        <v>0.2121732546764554</v>
      </c>
      <c r="H29" s="2" t="s">
        <v>351</v>
      </c>
    </row>
    <row r="30" spans="1:8" x14ac:dyDescent="0.35">
      <c r="A30" s="2" t="s">
        <v>352</v>
      </c>
      <c r="B30" s="15">
        <f ca="1">B29*B27+C29*B28</f>
        <v>0.45699999999999996</v>
      </c>
      <c r="C30" s="15">
        <f ca="1">B29*C27+C29*C28</f>
        <v>0.23399999999999999</v>
      </c>
      <c r="E30" s="15">
        <f ca="1">B26*B30+C26*C30</f>
        <v>0.30089999999999995</v>
      </c>
      <c r="F30" s="9">
        <f ca="1">(B26*(B30-E30)^2+C26*(C30-E30)^2)^0.5</f>
        <v>0.10219143799751522</v>
      </c>
      <c r="G30" s="3">
        <f ca="1">IF((G29-F30)*10000&lt;200,"#RECALCULATE",(G29-F30)*10000)</f>
        <v>1099.8181667894019</v>
      </c>
      <c r="H30" s="2" t="s">
        <v>353</v>
      </c>
    </row>
    <row r="32" spans="1:8" ht="16" thickBot="1" x14ac:dyDescent="0.4"/>
    <row r="33" spans="1:12" ht="16.5" thickTop="1" thickBot="1" x14ac:dyDescent="0.4">
      <c r="B33" s="76" t="str">
        <f ca="1">[1]!std_ans($C$33)</f>
        <v>B</v>
      </c>
      <c r="C33" s="79" t="str">
        <f ca="1" xml:space="preserve"> "/\" &amp;RANDBETWEEN( 1,120) &amp; "/\" &amp;RANDBETWEEN( 1,120) &amp; "/\" &amp;0.1 &amp; "/\" &amp; E30</f>
        <v>/\77/\1/\0.1/\0.3009</v>
      </c>
      <c r="D33" s="80" t="s">
        <v>354</v>
      </c>
      <c r="F33" s="76" t="str">
        <f ca="1">[1]!std_ans($G$33)</f>
        <v>E</v>
      </c>
      <c r="G33" s="79" t="str">
        <f ca="1" xml:space="preserve"> "/\" &amp;RANDBETWEEN( 1,120) &amp; "/\" &amp;RANDBETWEEN( 1,120) &amp; "/\" &amp;0.15 &amp; "/\" &amp; F30</f>
        <v>/\46/\113/\0.15/\0.102191437997515</v>
      </c>
      <c r="H33" s="80" t="s">
        <v>355</v>
      </c>
      <c r="J33" s="76" t="str">
        <f ca="1">[1]!std_ans($K$33)</f>
        <v>E</v>
      </c>
      <c r="K33" s="79" t="str">
        <f ca="1" xml:space="preserve"> "/\" &amp;RANDBETWEEN( 1,120) &amp; "/\" &amp;RANDBETWEEN( 1,120) &amp; "/\" &amp;0.15 &amp; "/\" &amp; G30</f>
        <v>/\42/\101/\0.15/\1099.8181667894</v>
      </c>
      <c r="L33" s="80" t="s">
        <v>356</v>
      </c>
    </row>
    <row r="34" spans="1:12" ht="16" thickTop="1" x14ac:dyDescent="0.35">
      <c r="B34" s="92">
        <f ca="1">[1]!stdnum_A($C$33)</f>
        <v>0.40049790000000013</v>
      </c>
      <c r="C34" s="82"/>
      <c r="D34" s="77"/>
      <c r="F34" s="108">
        <f ca="1">[1]!stdnum_A($G$33)</f>
        <v>7.7271408693773164E-2</v>
      </c>
      <c r="G34" s="82"/>
      <c r="H34" s="77"/>
      <c r="J34" s="74">
        <f ca="1">[1]!stdnum_A($K$33)</f>
        <v>628.82460642401952</v>
      </c>
      <c r="K34" s="82"/>
      <c r="L34" s="77"/>
    </row>
    <row r="35" spans="1:12" x14ac:dyDescent="0.35">
      <c r="B35" s="92">
        <f ca="1">[1]!stdnum_B($C$33)</f>
        <v>0.3009</v>
      </c>
      <c r="C35" s="82"/>
      <c r="D35" s="77"/>
      <c r="F35" s="108">
        <f ca="1">[1]!stdnum_B($G$33)</f>
        <v>6.7192529298933198E-2</v>
      </c>
      <c r="G35" s="82"/>
      <c r="H35" s="77"/>
      <c r="J35" s="74">
        <f ca="1">[1]!stdnum_B($K$33)</f>
        <v>723.14829738762239</v>
      </c>
      <c r="K35" s="82"/>
      <c r="L35" s="77"/>
    </row>
    <row r="36" spans="1:12" x14ac:dyDescent="0.35">
      <c r="B36" s="92">
        <f ca="1">[1]!stdnum_C($C$33)</f>
        <v>0.4405476900000001</v>
      </c>
      <c r="C36" s="82"/>
      <c r="D36" s="77"/>
      <c r="F36" s="108">
        <f ca="1">[1]!stdnum_C($G$33)</f>
        <v>8.8862119997839134E-2</v>
      </c>
      <c r="G36" s="82"/>
      <c r="H36" s="77"/>
      <c r="J36" s="74">
        <f ca="1">[1]!stdnum_C($K$33)</f>
        <v>831.62054199576573</v>
      </c>
      <c r="K36" s="82"/>
      <c r="L36" s="77"/>
    </row>
    <row r="37" spans="1:12" x14ac:dyDescent="0.35">
      <c r="B37" s="92">
        <f ca="1">[1]!stdnum_D($C$33)</f>
        <v>0.33099000000000001</v>
      </c>
      <c r="C37" s="82"/>
      <c r="D37" s="77"/>
      <c r="F37" s="108">
        <f ca="1">[1]!stdnum_D($G$33)</f>
        <v>5.842828634689843E-2</v>
      </c>
      <c r="G37" s="82"/>
      <c r="H37" s="77"/>
      <c r="J37" s="74">
        <f ca="1">[1]!stdnum_D($K$33)</f>
        <v>956.36362329513054</v>
      </c>
      <c r="K37" s="82"/>
      <c r="L37" s="77"/>
    </row>
    <row r="38" spans="1:12" ht="16" thickBot="1" x14ac:dyDescent="0.4">
      <c r="B38" s="93">
        <f ca="1">[1]!stdnum_E($C$33)</f>
        <v>0.36408900000000005</v>
      </c>
      <c r="C38" s="84"/>
      <c r="D38" s="78"/>
      <c r="F38" s="109">
        <f ca="1">[1]!stdnum_E($G$33)</f>
        <v>0.102191437997515</v>
      </c>
      <c r="G38" s="84"/>
      <c r="H38" s="78"/>
      <c r="J38" s="75">
        <f ca="1">[1]!stdnum_E($K$33)</f>
        <v>1099.8181667894</v>
      </c>
      <c r="K38" s="84"/>
      <c r="L38" s="78"/>
    </row>
    <row r="39" spans="1:12" ht="16" thickTop="1" x14ac:dyDescent="0.35"/>
    <row r="41" spans="1:12" x14ac:dyDescent="0.35">
      <c r="A41" s="88" t="s">
        <v>2799</v>
      </c>
    </row>
    <row r="42" spans="1:12" x14ac:dyDescent="0.35">
      <c r="A42" s="7">
        <f ca="1">RANDBETWEEN(7,14)*5/1000</f>
        <v>6.5000000000000002E-2</v>
      </c>
      <c r="B42" s="2" t="s">
        <v>1393</v>
      </c>
      <c r="F42" s="25">
        <f ca="1">100*(A43-A42)/A44</f>
        <v>34.615384615384613</v>
      </c>
      <c r="G42" s="2" t="s">
        <v>3024</v>
      </c>
    </row>
    <row r="43" spans="1:12" x14ac:dyDescent="0.35">
      <c r="A43" s="7">
        <f ca="1">A42+RANDBETWEEN(8,20)*5/1000</f>
        <v>0.11</v>
      </c>
      <c r="B43" s="2" t="s">
        <v>1394</v>
      </c>
      <c r="F43" s="2">
        <f ca="1">RANDBETWEEN(4,9)</f>
        <v>5</v>
      </c>
      <c r="G43" s="2" t="s">
        <v>3354</v>
      </c>
    </row>
    <row r="44" spans="1:12" x14ac:dyDescent="0.35">
      <c r="A44" s="7">
        <f ca="1">RANDBETWEEN(24,40)*5/1000</f>
        <v>0.13</v>
      </c>
      <c r="B44" s="2" t="s">
        <v>2929</v>
      </c>
      <c r="F44" s="29">
        <f ca="1">F43*F42/10000</f>
        <v>1.7307692307692305E-2</v>
      </c>
      <c r="G44" s="2" t="s">
        <v>3355</v>
      </c>
    </row>
    <row r="45" spans="1:12" ht="16" thickBot="1" x14ac:dyDescent="0.4">
      <c r="B45" s="88" t="s">
        <v>3353</v>
      </c>
      <c r="F45" s="88" t="s">
        <v>3778</v>
      </c>
    </row>
    <row r="46" spans="1:12" ht="16.5" thickTop="1" thickBot="1" x14ac:dyDescent="0.4">
      <c r="B46" s="76" t="str">
        <f ca="1">[1]!std_ans($C$46)</f>
        <v>A</v>
      </c>
      <c r="C46" s="79" t="str">
        <f ca="1" xml:space="preserve"> "/\" &amp;RANDBETWEEN( 1,120) &amp; "/\" &amp;RANDBETWEEN( 1,120) &amp; "/\" &amp;0.15 &amp; "/\" &amp; F42</f>
        <v>/\13/\61/\0.15/\34.6153846153846</v>
      </c>
      <c r="D46" s="80" t="s">
        <v>3025</v>
      </c>
      <c r="F46" s="76" t="str">
        <f ca="1">[1]!std_ans($G$46)</f>
        <v>C</v>
      </c>
      <c r="G46" s="79" t="str">
        <f ca="1" xml:space="preserve"> "/\" &amp;RANDBETWEEN( 1,120) &amp; "/\" &amp;RANDBETWEEN( 1,120) &amp; "/\" &amp;0.1 &amp; "/\" &amp; F44</f>
        <v>/\37/\78/\0.1/\0.0173076923076923</v>
      </c>
      <c r="H46" s="80" t="s">
        <v>3777</v>
      </c>
    </row>
    <row r="47" spans="1:12" ht="16" thickTop="1" x14ac:dyDescent="0.35">
      <c r="B47" s="74">
        <f ca="1">[1]!stdnum_A($C$46)</f>
        <v>34.615384615384599</v>
      </c>
      <c r="C47" s="82"/>
      <c r="D47" s="77"/>
      <c r="F47" s="108">
        <f ca="1">[1]!stdnum_A($G$46)</f>
        <v>1.3003525400219608E-2</v>
      </c>
      <c r="G47" s="82"/>
      <c r="H47" s="77"/>
    </row>
    <row r="48" spans="1:12" x14ac:dyDescent="0.35">
      <c r="B48" s="74">
        <f ca="1">[1]!stdnum_B($C$46)</f>
        <v>30.100334448160524</v>
      </c>
      <c r="C48" s="82"/>
      <c r="D48" s="77"/>
      <c r="F48" s="108">
        <f ca="1">[1]!stdnum_B($G$46)</f>
        <v>1.5734265734265729E-2</v>
      </c>
      <c r="G48" s="82"/>
      <c r="H48" s="77"/>
    </row>
    <row r="49" spans="1:8" x14ac:dyDescent="0.35">
      <c r="B49" s="74">
        <f ca="1">[1]!stdnum_C($C$46)</f>
        <v>39.807692307692285</v>
      </c>
      <c r="C49" s="82"/>
      <c r="D49" s="77"/>
      <c r="F49" s="108">
        <f ca="1">[1]!stdnum_C($G$46)</f>
        <v>1.7307692307692302E-2</v>
      </c>
      <c r="G49" s="82"/>
      <c r="H49" s="77"/>
    </row>
    <row r="50" spans="1:8" x14ac:dyDescent="0.35">
      <c r="B50" s="74">
        <f ca="1">[1]!stdnum_D($C$46)</f>
        <v>26.174203867965673</v>
      </c>
      <c r="C50" s="82"/>
      <c r="D50" s="77"/>
      <c r="F50" s="108">
        <f ca="1">[1]!stdnum_D($G$46)</f>
        <v>1.9038461538461532E-2</v>
      </c>
      <c r="G50" s="82"/>
      <c r="H50" s="77"/>
    </row>
    <row r="51" spans="1:8" ht="16" thickBot="1" x14ac:dyDescent="0.4">
      <c r="B51" s="75">
        <f ca="1">[1]!stdnum_E($C$46)</f>
        <v>45.778846153846125</v>
      </c>
      <c r="C51" s="84"/>
      <c r="D51" s="78"/>
      <c r="F51" s="109">
        <f ca="1">[1]!stdnum_E($G$46)</f>
        <v>1.430387794024157E-2</v>
      </c>
      <c r="G51" s="84"/>
      <c r="H51" s="78"/>
    </row>
    <row r="52" spans="1:8" ht="16" thickTop="1" x14ac:dyDescent="0.35"/>
    <row r="54" spans="1:8" x14ac:dyDescent="0.35">
      <c r="A54" s="120" t="s">
        <v>1682</v>
      </c>
    </row>
    <row r="55" spans="1:8" x14ac:dyDescent="0.35">
      <c r="A55" s="20">
        <f ca="1">RANDBETWEEN(8,12)*100</f>
        <v>1100</v>
      </c>
      <c r="B55" s="2" t="s">
        <v>2795</v>
      </c>
      <c r="D55" s="7">
        <f ca="1">IF(ABS(A57*(A56/A55-1)+(1-A57)*(-1))&lt;0.03,"#RECALCULATE",A57*(A56/A55-1)+(1-A57)*(-1))</f>
        <v>0.22727272727272724</v>
      </c>
      <c r="E55" s="2" t="s">
        <v>3762</v>
      </c>
    </row>
    <row r="56" spans="1:8" x14ac:dyDescent="0.35">
      <c r="A56" s="20">
        <f ca="1">RANDBETWEEN(13,16)*100</f>
        <v>1500</v>
      </c>
      <c r="B56" s="2" t="s">
        <v>3058</v>
      </c>
    </row>
    <row r="57" spans="1:8" x14ac:dyDescent="0.35">
      <c r="A57" s="23">
        <f ca="1">RANDBETWEEN(10,18)*5/100</f>
        <v>0.9</v>
      </c>
      <c r="B57" s="2" t="s">
        <v>3059</v>
      </c>
    </row>
    <row r="58" spans="1:8" ht="16" thickBot="1" x14ac:dyDescent="0.4"/>
    <row r="59" spans="1:8" ht="16.5" thickTop="1" thickBot="1" x14ac:dyDescent="0.4">
      <c r="B59" s="76" t="str">
        <f ca="1">[1]!std_ans($C$59)</f>
        <v>D</v>
      </c>
      <c r="C59" s="79" t="str">
        <f ca="1" xml:space="preserve"> "/\" &amp;RANDBETWEEN( 1,120) &amp; "/\" &amp;RANDBETWEEN( 1,120) &amp; "/\" &amp;0.1 &amp; "/\" &amp; D55</f>
        <v>/\89/\103/\0.1/\0.227272727272727</v>
      </c>
      <c r="D59" s="80" t="s">
        <v>1200</v>
      </c>
    </row>
    <row r="60" spans="1:8" ht="16" thickTop="1" x14ac:dyDescent="0.35">
      <c r="B60" s="112">
        <f ca="1">[1]!stdnum_A($C$59)</f>
        <v>0.18782870022539419</v>
      </c>
      <c r="C60" s="82"/>
      <c r="D60" s="77"/>
    </row>
    <row r="61" spans="1:8" x14ac:dyDescent="0.35">
      <c r="B61" s="112">
        <f ca="1">[1]!stdnum_B($C$59)</f>
        <v>0.15523033076478857</v>
      </c>
      <c r="C61" s="82"/>
      <c r="D61" s="77"/>
    </row>
    <row r="62" spans="1:8" x14ac:dyDescent="0.35">
      <c r="B62" s="112">
        <f ca="1">[1]!stdnum_C($C$59)</f>
        <v>0.20661157024793361</v>
      </c>
      <c r="C62" s="82"/>
      <c r="D62" s="77"/>
    </row>
    <row r="63" spans="1:8" x14ac:dyDescent="0.35">
      <c r="B63" s="112">
        <f ca="1">[1]!stdnum_D($C$59)</f>
        <v>0.22727272727272699</v>
      </c>
      <c r="C63" s="82"/>
      <c r="D63" s="77"/>
    </row>
    <row r="64" spans="1:8" ht="16" thickBot="1" x14ac:dyDescent="0.4">
      <c r="B64" s="113">
        <f ca="1">[1]!stdnum_E($C$59)</f>
        <v>0.17075336384126741</v>
      </c>
      <c r="C64" s="84"/>
      <c r="D64" s="78"/>
    </row>
    <row r="65" spans="1:14" ht="16" thickTop="1" x14ac:dyDescent="0.35"/>
    <row r="67" spans="1:14" x14ac:dyDescent="0.35">
      <c r="A67" s="88" t="s">
        <v>1202</v>
      </c>
    </row>
    <row r="68" spans="1:14" x14ac:dyDescent="0.35">
      <c r="B68" s="100" t="s">
        <v>2711</v>
      </c>
      <c r="C68" s="100" t="s">
        <v>2712</v>
      </c>
      <c r="D68" s="100" t="s">
        <v>2713</v>
      </c>
      <c r="F68" s="100" t="s">
        <v>219</v>
      </c>
      <c r="G68" s="155" t="s">
        <v>220</v>
      </c>
      <c r="I68" s="6" t="str">
        <f ca="1">IF(H72=0,"standard deviation","expected return")</f>
        <v>standard deviation</v>
      </c>
      <c r="J68" s="2" t="s">
        <v>1748</v>
      </c>
      <c r="K68" s="123" t="str">
        <f ca="1">ROUND(IF(H72=0,G70,F70)*100,2)&amp;"% for X, "&amp;ROUND(IF(H72=0,G71,F71)*100*(IF(RANDBETWEEN(0,1)=0,1/1.2,1.2)),2)&amp;"% for Y, and "</f>
        <v xml:space="preserve">8.41% for X, 5.18% for Y, and </v>
      </c>
      <c r="L68" s="123" t="s">
        <v>2521</v>
      </c>
    </row>
    <row r="69" spans="1:14" x14ac:dyDescent="0.35">
      <c r="A69" s="100" t="s">
        <v>211</v>
      </c>
      <c r="B69" s="23">
        <f ca="1">RANDBETWEEN(4,8)*5/100</f>
        <v>0.4</v>
      </c>
      <c r="C69" s="23">
        <f ca="1">RANDBETWEEN(4,8)*5/100</f>
        <v>0.35</v>
      </c>
      <c r="D69" s="23">
        <f ca="1">1-B69-C69</f>
        <v>0.25</v>
      </c>
      <c r="I69" s="6" t="str">
        <f ca="1">IF(OR(AND(F70&gt;F71,G70&lt;=G71),AND(F70&gt;=F71,G70&lt;G71)),"Y is dominant",IF(OR(AND(F70&lt;F71,G70&gt;=G71),AND(F70&lt;=F71,G70&gt;G71)),"there is a trade-off","X is dominant"))</f>
        <v>there is a trade-off</v>
      </c>
      <c r="J69" s="2" t="s">
        <v>2521</v>
      </c>
      <c r="K69" s="2" t="str">
        <f ca="1">ROUND(IF(H72=0,G70,F70)*100*(IF(RANDBETWEEN(0,1)=0,1/1.2,1.2)),2)&amp;"% for X, "&amp;ROUND(IF(H72=0,G71,F71)*100,2)&amp;"% for Y, and "</f>
        <v xml:space="preserve">7.01% for X, 4.32% for Y, and </v>
      </c>
      <c r="L69" s="2" t="s">
        <v>2522</v>
      </c>
      <c r="M69" s="4"/>
    </row>
    <row r="70" spans="1:14" x14ac:dyDescent="0.35">
      <c r="A70" s="100" t="s">
        <v>217</v>
      </c>
      <c r="B70" s="7">
        <f ca="1">RANDBETWEEN(0,40)*(IF(RANDBETWEEN(0,1)=0,1,-1))/1000</f>
        <v>3.1E-2</v>
      </c>
      <c r="C70" s="7">
        <f ca="1">RANDBETWEEN(40,120)/1000</f>
        <v>4.2000000000000003E-2</v>
      </c>
      <c r="D70" s="7">
        <f ca="1">RANDBETWEEN(90,300)/1000</f>
        <v>0.23</v>
      </c>
      <c r="F70" s="159">
        <f ca="1">B69*B70+C69*C70+D69*D70</f>
        <v>8.4600000000000009E-2</v>
      </c>
      <c r="G70" s="159">
        <f ca="1">(B69*(B70-F70)^2+C69*(C70-F70)^2+D69*(D70-F70)^2)^(1/2)</f>
        <v>8.4081151276608965E-2</v>
      </c>
      <c r="I70" s="6" t="str">
        <f ca="1">IF(OR(AND(F70&gt;F71,G70&lt;=G71),AND(F70&gt;=F71,G70&lt;G71)),"there is a trade-off",IF(OR(AND(F70&lt;F71,G70&gt;=G71),AND(F70&lt;=F71,G70&gt;G71)),"X is dominant","Y is dominant"))</f>
        <v>X is dominant</v>
      </c>
      <c r="J70" s="2" t="s">
        <v>2522</v>
      </c>
      <c r="K70" s="2" t="str">
        <f ca="1">CHOOSE(RANDBETWEEN(1,2),K68,K69)</f>
        <v xml:space="preserve">7.01% for X, 4.32% for Y, and </v>
      </c>
      <c r="L70" s="2" t="s">
        <v>2856</v>
      </c>
      <c r="M70" s="7"/>
      <c r="N70" s="7"/>
    </row>
    <row r="71" spans="1:14" x14ac:dyDescent="0.35">
      <c r="A71" s="100" t="s">
        <v>218</v>
      </c>
      <c r="B71" s="7">
        <f ca="1">RANDBETWEEN(40,80)*(IF(RANDBETWEEN(0,1)=0,1,-1))/1000</f>
        <v>7.8E-2</v>
      </c>
      <c r="C71" s="7">
        <f ca="1">RANDBETWEEN(120,240)/1000</f>
        <v>0.14299999999999999</v>
      </c>
      <c r="D71" s="7">
        <f ca="1">RANDBETWEEN(90,300)/1000</f>
        <v>0.184</v>
      </c>
      <c r="F71" s="159">
        <f ca="1">B69*B71+C69*C71+D69*D71</f>
        <v>0.12724999999999997</v>
      </c>
      <c r="G71" s="159">
        <f ca="1">(B69*(B71-F71)^2+C69*(C71-F71)^2+D69*(D71-F71)^2)^(1/2)</f>
        <v>4.3153070574409876E-2</v>
      </c>
      <c r="I71" s="6" t="str">
        <f ca="1">IF(OR(AND(F70&gt;F71,G70&lt;=G71),AND(F70&gt;=F71,G70&lt;G71)),"X is dominant",IF(OR(AND(F70&lt;F71,G70&gt;=G71),AND(F70&lt;=F71,G70&gt;G71)),"Y is dominant","there is a trade-off"))</f>
        <v>Y is dominant</v>
      </c>
      <c r="J71" s="2" t="s">
        <v>1201</v>
      </c>
      <c r="K71" s="2" t="str">
        <f ca="1">ROUND(IF(H72=0,G70,F70)*100,2)&amp;"% for X, "&amp;ROUND(IF(H72=0,G71,F71)*100,2)&amp;"% for Y, and "</f>
        <v xml:space="preserve">8.41% for X, 4.32% for Y, and </v>
      </c>
      <c r="L71" s="2" t="s">
        <v>2524</v>
      </c>
      <c r="M71" s="7"/>
      <c r="N71" s="7"/>
    </row>
    <row r="72" spans="1:14" ht="16" thickBot="1" x14ac:dyDescent="0.4">
      <c r="H72" s="2">
        <f ca="1">(RANDBETWEEN(0,1))</f>
        <v>0</v>
      </c>
      <c r="K72" s="242"/>
      <c r="L72" s="243"/>
      <c r="M72" s="7"/>
      <c r="N72" s="7"/>
    </row>
    <row r="73" spans="1:14" ht="16.5" thickTop="1" thickBot="1" x14ac:dyDescent="0.4">
      <c r="B73" s="76" t="str">
        <f ca="1">[1]!alpha_ans($C$73)</f>
        <v>C</v>
      </c>
      <c r="C73" s="79" t="str">
        <f ca="1" xml:space="preserve"> "/\" &amp;RANDBETWEEN( 1,5) &amp; "/\" &amp;RANDBETWEEN( 1,120) &amp; "/\" &amp;RANDBETWEEN( 1,6) &amp; "/\" &amp;RANDBETWEEN( 1,2) &amp; "/\" &amp; I71 &amp; "/\" &amp; I69 &amp; "/\" &amp; I70 &amp; "/\" &amp; K71 &amp; "/\" &amp; K70</f>
        <v xml:space="preserve">/\3/\36/\3/\1/\Y is dominant/\there is a trade-off/\X is dominant/\8.41% for X, 4.32% for Y, and /\7.01% for X, 4.32% for Y, and </v>
      </c>
      <c r="D73" s="80" t="s">
        <v>1203</v>
      </c>
      <c r="M73" s="7"/>
      <c r="N73" s="7"/>
    </row>
    <row r="74" spans="1:14" ht="16" thickTop="1" x14ac:dyDescent="0.35">
      <c r="B74" s="81" t="str">
        <f ca="1">[1]!onepair_A($C$73)</f>
        <v>there is a trade-off</v>
      </c>
      <c r="C74" s="82" t="str">
        <f ca="1">[1]!onepair_A2($C$73)</f>
        <v xml:space="preserve">8.41% for X, 4.32% for Y, and </v>
      </c>
      <c r="D74" s="77"/>
      <c r="M74" s="7"/>
      <c r="N74" s="7"/>
    </row>
    <row r="75" spans="1:14" x14ac:dyDescent="0.35">
      <c r="B75" s="81" t="str">
        <f ca="1">[1]!onepair_B($C$73)</f>
        <v>there is a trade-off</v>
      </c>
      <c r="C75" s="82" t="str">
        <f ca="1">[1]!onepair_B2($C$73)</f>
        <v xml:space="preserve">7.01% for X, 4.32% for Y, and </v>
      </c>
      <c r="D75" s="77"/>
    </row>
    <row r="76" spans="1:14" x14ac:dyDescent="0.35">
      <c r="B76" s="81" t="str">
        <f ca="1">[1]!onepair_C($C$73)</f>
        <v>Y is dominant</v>
      </c>
      <c r="C76" s="82" t="str">
        <f ca="1">[1]!onepair_C2($C$73)</f>
        <v xml:space="preserve">8.41% for X, 4.32% for Y, and </v>
      </c>
      <c r="D76" s="77"/>
    </row>
    <row r="77" spans="1:14" x14ac:dyDescent="0.35">
      <c r="B77" s="81" t="str">
        <f ca="1">[1]!onepair_D($C$73)</f>
        <v>X is dominant</v>
      </c>
      <c r="C77" s="82" t="str">
        <f ca="1">[1]!onepair_D2($C$73)</f>
        <v xml:space="preserve">8.41% for X, 4.32% for Y, and </v>
      </c>
      <c r="D77" s="77"/>
    </row>
    <row r="78" spans="1:14" ht="16" thickBot="1" x14ac:dyDescent="0.4">
      <c r="B78" s="83" t="str">
        <f ca="1">[1]!onepair_E($C$73)</f>
        <v>Y is dominant</v>
      </c>
      <c r="C78" s="84" t="str">
        <f ca="1">[1]!onepair_E2($C$73)</f>
        <v xml:space="preserve">7.01% for X, 4.32% for Y, and </v>
      </c>
      <c r="D78" s="78"/>
    </row>
    <row r="79" spans="1:14" ht="16" thickTop="1" x14ac:dyDescent="0.35">
      <c r="A79" s="6"/>
    </row>
    <row r="80" spans="1:14" x14ac:dyDescent="0.35">
      <c r="A80" s="6"/>
    </row>
    <row r="81" spans="1:12" x14ac:dyDescent="0.35">
      <c r="A81" s="120" t="s">
        <v>2857</v>
      </c>
    </row>
    <row r="82" spans="1:12" x14ac:dyDescent="0.35">
      <c r="B82" s="100" t="s">
        <v>212</v>
      </c>
      <c r="C82" s="100" t="s">
        <v>213</v>
      </c>
      <c r="D82" s="100" t="s">
        <v>214</v>
      </c>
    </row>
    <row r="83" spans="1:12" x14ac:dyDescent="0.35">
      <c r="A83" s="100" t="s">
        <v>211</v>
      </c>
      <c r="B83" s="23">
        <f ca="1">RANDBETWEEN(4,8)*5/100</f>
        <v>0.4</v>
      </c>
      <c r="C83" s="23">
        <f ca="1">RANDBETWEEN(4,8)*5/100</f>
        <v>0.4</v>
      </c>
      <c r="D83" s="23">
        <f ca="1">1-B83-C83</f>
        <v>0.19999999999999996</v>
      </c>
      <c r="F83" s="159">
        <f ca="1">B83*B84+C83*C84+D83*D84</f>
        <v>7.279999999999999E-2</v>
      </c>
      <c r="G83" s="2" t="s">
        <v>215</v>
      </c>
    </row>
    <row r="84" spans="1:12" x14ac:dyDescent="0.35">
      <c r="A84" s="100" t="s">
        <v>3446</v>
      </c>
      <c r="B84" s="7">
        <f ca="1">RANDBETWEEN(0,40)*(IF(RANDBETWEEN(0,1)=0,1,-1))/1000</f>
        <v>4.0000000000000001E-3</v>
      </c>
      <c r="C84" s="7">
        <f ca="1">RANDBETWEEN(40,120)/1000</f>
        <v>8.2000000000000003E-2</v>
      </c>
      <c r="D84" s="7">
        <f ca="1">RANDBETWEEN(120,220)/1000</f>
        <v>0.192</v>
      </c>
      <c r="F84" s="159">
        <f ca="1">(B83*(B84-F83)^2+C83*(C84-F83)^2+D83*(D84-F83)^2)^(1/2)</f>
        <v>6.9057657070016501E-2</v>
      </c>
      <c r="G84" s="2" t="s">
        <v>216</v>
      </c>
    </row>
    <row r="85" spans="1:12" x14ac:dyDescent="0.35">
      <c r="B85" s="4"/>
      <c r="C85" s="4"/>
      <c r="D85" s="4"/>
    </row>
    <row r="86" spans="1:12" ht="16" thickBot="1" x14ac:dyDescent="0.4">
      <c r="B86" s="120" t="s">
        <v>2939</v>
      </c>
      <c r="F86" s="120" t="s">
        <v>3597</v>
      </c>
      <c r="J86" s="120" t="s">
        <v>3599</v>
      </c>
    </row>
    <row r="87" spans="1:12" ht="16.5" thickTop="1" thickBot="1" x14ac:dyDescent="0.4">
      <c r="B87" s="76" t="str">
        <f ca="1">[1]!std_ans($C$87)</f>
        <v>E</v>
      </c>
      <c r="C87" s="79" t="str">
        <f ca="1" xml:space="preserve"> "/\" &amp;RANDBETWEEN( 1,120) &amp; "/\" &amp;RANDBETWEEN( 1,120) &amp; "/\" &amp;0.1 &amp; "/\" &amp; F83</f>
        <v>/\106/\3/\0.1/\0.0728</v>
      </c>
      <c r="D87" s="80" t="s">
        <v>1204</v>
      </c>
      <c r="F87" s="76" t="str">
        <f ca="1">[1]!std_ans($G$87)</f>
        <v>E</v>
      </c>
      <c r="G87" s="79" t="str">
        <f ca="1" xml:space="preserve"> "/\" &amp;RANDBETWEEN( 1,120) &amp; "/\" &amp;RANDBETWEEN( 1,120) &amp; "/\" &amp;0.1 &amp; "/\" &amp; F84</f>
        <v>/\90/\58/\0.1/\0.0690576570700165</v>
      </c>
      <c r="H87" s="80" t="s">
        <v>3598</v>
      </c>
      <c r="J87" s="76" t="str">
        <f ca="1">[1]!alpha_ans($K$87)</f>
        <v>B</v>
      </c>
      <c r="K87" s="79" t="str">
        <f ca="1" xml:space="preserve"> "/\" &amp;RANDBETWEEN( 1,5) &amp; "/\" &amp;RANDBETWEEN( 1,120) &amp; "/\" &amp;RANDBETWEEN( 1,6) &amp; "/\" &amp;RANDBETWEEN( 1,2) &amp; "/\" &amp; F83 &amp; "/\" &amp; "Mask" &amp; "/\" &amp; "Mask" &amp; "/\" &amp; F84 &amp; "/\" &amp; "Mask"</f>
        <v>/\2/\79/\4/\1/\0.0728/\Mask/\Mask/\0.0690576570700165/\Mask</v>
      </c>
      <c r="L87" s="80" t="s">
        <v>3600</v>
      </c>
    </row>
    <row r="88" spans="1:12" ht="16" thickTop="1" x14ac:dyDescent="0.35">
      <c r="B88" s="92">
        <f ca="1">[1]!stdnum_A($C$87)</f>
        <v>0.10658648000000004</v>
      </c>
      <c r="C88" s="82"/>
      <c r="D88" s="77"/>
      <c r="F88" s="92">
        <f ca="1">[1]!stdnum_A($G$87)</f>
        <v>8.3559765054719973E-2</v>
      </c>
      <c r="G88" s="82"/>
      <c r="H88" s="77"/>
      <c r="J88" s="92">
        <f ca="1">[1]!onepair_A($K$87)</f>
        <v>6.3304347826087001E-2</v>
      </c>
      <c r="K88" s="242">
        <f ca="1">[1]!onepair_A2($K$87)</f>
        <v>6.9057657070016501E-2</v>
      </c>
      <c r="L88" s="77"/>
    </row>
    <row r="89" spans="1:12" x14ac:dyDescent="0.35">
      <c r="B89" s="92">
        <f ca="1">[1]!stdnum_B($C$87)</f>
        <v>8.0080000000000012E-2</v>
      </c>
      <c r="C89" s="82"/>
      <c r="D89" s="77"/>
      <c r="F89" s="92">
        <f ca="1">[1]!stdnum_B($G$87)</f>
        <v>7.5963422777018161E-2</v>
      </c>
      <c r="G89" s="82"/>
      <c r="H89" s="77"/>
      <c r="J89" s="92">
        <f ca="1">[1]!onepair_B($K$87)</f>
        <v>7.2800000000000004E-2</v>
      </c>
      <c r="K89" s="242">
        <f ca="1">[1]!onepair_B2($K$87)</f>
        <v>6.9057657070016501E-2</v>
      </c>
      <c r="L89" s="77"/>
    </row>
    <row r="90" spans="1:12" x14ac:dyDescent="0.35">
      <c r="B90" s="92">
        <f ca="1">[1]!stdnum_C($C$87)</f>
        <v>9.6896800000000033E-2</v>
      </c>
      <c r="C90" s="82"/>
      <c r="D90" s="77"/>
      <c r="F90" s="92">
        <f ca="1">[1]!stdnum_C($G$87)</f>
        <v>5.7072443859517763E-2</v>
      </c>
      <c r="G90" s="82"/>
      <c r="H90" s="77"/>
      <c r="J90" s="92">
        <f ca="1">[1]!onepair_C($K$87)</f>
        <v>7.2800000000000004E-2</v>
      </c>
      <c r="K90" s="242">
        <f ca="1">[1]!onepair_C2($K$87)</f>
        <v>6.00501365826231E-2</v>
      </c>
      <c r="L90" s="77"/>
    </row>
    <row r="91" spans="1:12" x14ac:dyDescent="0.35">
      <c r="B91" s="92">
        <f ca="1">[1]!stdnum_D($C$87)</f>
        <v>8.8088000000000014E-2</v>
      </c>
      <c r="C91" s="82"/>
      <c r="D91" s="77"/>
      <c r="F91" s="92">
        <f ca="1">[1]!stdnum_D($G$87)</f>
        <v>6.2779688245469548E-2</v>
      </c>
      <c r="G91" s="82"/>
      <c r="H91" s="77"/>
      <c r="J91" s="92">
        <f ca="1">[1]!onepair_D($K$87)</f>
        <v>8.3720000000000003E-2</v>
      </c>
      <c r="K91" s="242">
        <f ca="1">[1]!onepair_D2($K$87)</f>
        <v>6.00501365826231E-2</v>
      </c>
      <c r="L91" s="77"/>
    </row>
    <row r="92" spans="1:12" ht="16" thickBot="1" x14ac:dyDescent="0.4">
      <c r="B92" s="93">
        <f ca="1">[1]!stdnum_E($C$87)</f>
        <v>7.2800000000000004E-2</v>
      </c>
      <c r="C92" s="84"/>
      <c r="D92" s="78"/>
      <c r="F92" s="93">
        <f ca="1">[1]!stdnum_E($G$87)</f>
        <v>6.9057657070016501E-2</v>
      </c>
      <c r="G92" s="84"/>
      <c r="H92" s="78"/>
      <c r="J92" s="93">
        <f ca="1">[1]!onepair_E($K$87)</f>
        <v>6.3304347826087001E-2</v>
      </c>
      <c r="K92" s="299">
        <f ca="1">[1]!onepair_E2($K$87)</f>
        <v>6.00501365826231E-2</v>
      </c>
      <c r="L92" s="78"/>
    </row>
    <row r="93" spans="1:12" ht="16" thickTop="1" x14ac:dyDescent="0.35"/>
    <row r="95" spans="1:12" x14ac:dyDescent="0.35">
      <c r="A95" s="88" t="s">
        <v>3521</v>
      </c>
    </row>
    <row r="96" spans="1:12" x14ac:dyDescent="0.35">
      <c r="B96" s="100" t="s">
        <v>212</v>
      </c>
      <c r="C96" s="100" t="s">
        <v>213</v>
      </c>
      <c r="D96" s="100" t="s">
        <v>214</v>
      </c>
      <c r="F96" s="100" t="s">
        <v>219</v>
      </c>
      <c r="G96" s="155" t="s">
        <v>220</v>
      </c>
      <c r="J96" s="2" t="s">
        <v>3254</v>
      </c>
    </row>
    <row r="97" spans="1:16" x14ac:dyDescent="0.35">
      <c r="A97" s="100" t="s">
        <v>211</v>
      </c>
      <c r="B97" s="23">
        <f ca="1">RANDBETWEEN(4,8)*5/100</f>
        <v>0.3</v>
      </c>
      <c r="C97" s="23">
        <f ca="1">RANDBETWEEN(4,8)*5/100</f>
        <v>0.25</v>
      </c>
      <c r="D97" s="23">
        <f ca="1">1-B97-C97</f>
        <v>0.44999999999999996</v>
      </c>
      <c r="I97" s="6"/>
      <c r="J97" s="7">
        <f ca="1">(F98+0.04-B97*B99-C97*C99)/D97</f>
        <v>0.26044444444444442</v>
      </c>
      <c r="K97" s="7">
        <f ca="1">(F98-0.04-B97*B99-C97*C99)/D97</f>
        <v>8.2666666666666666E-2</v>
      </c>
      <c r="L97" s="7">
        <f ca="1">RANDBETWEEN(90,300)/1000</f>
        <v>0.29099999999999998</v>
      </c>
    </row>
    <row r="98" spans="1:16" x14ac:dyDescent="0.35">
      <c r="A98" s="100" t="s">
        <v>217</v>
      </c>
      <c r="B98" s="7">
        <f ca="1">RANDBETWEEN(0,40)*(IF(RANDBETWEEN(0,1)=0,1,-1))/1000</f>
        <v>-1.0999999999999999E-2</v>
      </c>
      <c r="C98" s="7">
        <f ca="1">RANDBETWEEN(40,120)/1000</f>
        <v>9.2999999999999999E-2</v>
      </c>
      <c r="D98" s="7">
        <f ca="1">RANDBETWEEN(120,220)/1000</f>
        <v>0.19700000000000001</v>
      </c>
      <c r="F98" s="159">
        <f ca="1">B97*B98+C97*C98+D97*D98</f>
        <v>0.10859999999999999</v>
      </c>
      <c r="G98" s="159">
        <f ca="1">(B97*(B98-F98)^2+C97*(C98-F98)^2+D97*(D98-F98)^2)^(1/2)</f>
        <v>8.87053549680063E-2</v>
      </c>
    </row>
    <row r="99" spans="1:16" x14ac:dyDescent="0.35">
      <c r="A99" s="100" t="s">
        <v>218</v>
      </c>
      <c r="B99" s="7">
        <f ca="1">RANDBETWEEN(40,80)*(IF(RANDBETWEEN(0,1)=0,1,-1))/1000</f>
        <v>-6.2E-2</v>
      </c>
      <c r="C99" s="7">
        <f ca="1">RANDBETWEEN(120,240)/1000</f>
        <v>0.2</v>
      </c>
      <c r="D99" s="7">
        <f ca="1">IF(OR(L97&gt;MAX(J97,K97),L97&lt;MIN(J97,K97)),L97,(IF(RANDBETWEEN(0,1)=0,1/1.1,1.1))*CHOOSE(RANDBETWEEN(1,2),J97,K97))</f>
        <v>0.29099999999999998</v>
      </c>
      <c r="F99" s="159">
        <f ca="1">B97*B99+C97*C99+D97*D99</f>
        <v>0.16234999999999999</v>
      </c>
      <c r="G99" s="159">
        <f ca="1">(B97*(B99-F99)^2+C97*(C99-F99)^2+D97*(D99-F99)^2)^(1/2)</f>
        <v>0.15133448879881942</v>
      </c>
    </row>
    <row r="100" spans="1:16" x14ac:dyDescent="0.35">
      <c r="A100" s="11" t="s">
        <v>2229</v>
      </c>
    </row>
    <row r="101" spans="1:16" x14ac:dyDescent="0.35">
      <c r="A101" s="23">
        <f ca="1">5*RANDBETWEEN(5,15)/100</f>
        <v>0.7</v>
      </c>
      <c r="B101" s="159">
        <f ca="1">A101*B98+A102*B99</f>
        <v>-2.63E-2</v>
      </c>
      <c r="C101" s="159">
        <f ca="1">A101*C98+A102*C99</f>
        <v>0.12509999999999999</v>
      </c>
      <c r="D101" s="159">
        <f ca="1">A101*D98+A102*D99</f>
        <v>0.22520000000000001</v>
      </c>
      <c r="F101" s="159">
        <f ca="1">B97*B101+C97*C101+D97*D101</f>
        <v>0.124725</v>
      </c>
      <c r="G101" s="159">
        <f ca="1">(B97*(B101-F101)^2+C97*(C101-F101)^2+D97*(D101-F101)^2)^(1/2)</f>
        <v>0.10670263293377534</v>
      </c>
      <c r="I101" s="244">
        <f ca="1">RANDBETWEEN(ROUND(MIN(F98,F99)*1000,0)+10,ROUND(MAX(F98,F99)*1000-10,0))/1000</f>
        <v>0.13100000000000001</v>
      </c>
      <c r="J101" s="2" t="s">
        <v>2230</v>
      </c>
    </row>
    <row r="102" spans="1:16" x14ac:dyDescent="0.35">
      <c r="A102" s="245">
        <f ca="1">1-A101</f>
        <v>0.30000000000000004</v>
      </c>
      <c r="I102" s="245">
        <f ca="1">(I101-F99)/(F98-F99)</f>
        <v>0.58325581395348813</v>
      </c>
      <c r="J102" s="2" t="s">
        <v>2231</v>
      </c>
    </row>
    <row r="104" spans="1:16" ht="16" thickBot="1" x14ac:dyDescent="0.4">
      <c r="B104" s="120" t="s">
        <v>3520</v>
      </c>
      <c r="F104" s="120" t="s">
        <v>1998</v>
      </c>
      <c r="J104" s="120" t="s">
        <v>2299</v>
      </c>
      <c r="N104" s="120" t="s">
        <v>2301</v>
      </c>
    </row>
    <row r="105" spans="1:16" ht="16.5" thickTop="1" thickBot="1" x14ac:dyDescent="0.4">
      <c r="B105" s="76" t="str">
        <f ca="1">[1]!std_ans($C$105)</f>
        <v>E</v>
      </c>
      <c r="C105" s="79" t="str">
        <f ca="1" xml:space="preserve"> "/\" &amp;RANDBETWEEN( 1,120) &amp; "/\" &amp;RANDBETWEEN( 1,120) &amp; "/\" &amp;0.1 &amp; "/\" &amp; F101</f>
        <v>/\96/\69/\0.1/\0.124725</v>
      </c>
      <c r="D105" s="80" t="s">
        <v>3522</v>
      </c>
      <c r="F105" s="76" t="str">
        <f ca="1">[1]!std_ans($G$105)</f>
        <v>E</v>
      </c>
      <c r="G105" s="79" t="str">
        <f ca="1" xml:space="preserve"> "/\" &amp;RANDBETWEEN( 1,120) &amp; "/\" &amp;RANDBETWEEN( 1,120) &amp; "/\" &amp;0.1 &amp; "/\" &amp; G101</f>
        <v>/\118/\43/\0.1/\0.106702632933775</v>
      </c>
      <c r="H105" s="80" t="s">
        <v>1999</v>
      </c>
      <c r="J105" s="76" t="str">
        <f ca="1">[1]!alpha_ans($K$105)</f>
        <v>A</v>
      </c>
      <c r="K105" s="79" t="str">
        <f ca="1" xml:space="preserve"> "/\" &amp;RANDBETWEEN( 1,5) &amp; "/\" &amp;RANDBETWEEN( 1,120) &amp; "/\" &amp;RANDBETWEEN( 1,6) &amp; "/\" &amp;RANDBETWEEN( 1,2) &amp; "/\" &amp; F101 &amp; "/\" &amp; "Mask" &amp; "/\" &amp; "Mask" &amp; "/\" &amp; G101 &amp; "/\" &amp; "Mask"</f>
        <v>/\1/\4/\2/\2/\0.124725/\Mask/\Mask/\0.106702632933775/\Mask</v>
      </c>
      <c r="L105" s="80" t="s">
        <v>2300</v>
      </c>
      <c r="N105" s="76" t="str">
        <f ca="1">[1]!std_ans($O$105)</f>
        <v>A</v>
      </c>
      <c r="O105" s="79" t="str">
        <f ca="1" xml:space="preserve"> "/\" &amp;RANDBETWEEN( 1,120) &amp; "/\" &amp;RANDBETWEEN( 1,120) &amp; "/\" &amp;0.1 &amp; "/\" &amp; I102</f>
        <v>/\15/\43/\0.1/\0.583255813953488</v>
      </c>
      <c r="P105" s="80" t="s">
        <v>2302</v>
      </c>
    </row>
    <row r="106" spans="1:16" ht="16" thickTop="1" x14ac:dyDescent="0.35">
      <c r="B106" s="92">
        <f ca="1">[1]!stdnum_A($C$105)</f>
        <v>0.1030785123966942</v>
      </c>
      <c r="C106" s="82"/>
      <c r="D106" s="77"/>
      <c r="F106" s="92">
        <f ca="1">[1]!stdnum_A($G$105)</f>
        <v>0.12911018584986778</v>
      </c>
      <c r="G106" s="82"/>
      <c r="H106" s="77"/>
      <c r="J106" s="92">
        <f ca="1">[1]!onepair_A($K$105)</f>
        <v>0.124725</v>
      </c>
      <c r="K106" s="242">
        <f ca="1">[1]!onepair_A2($K$105)</f>
        <v>0.10670263293377499</v>
      </c>
      <c r="L106" s="77"/>
      <c r="N106" s="112">
        <f ca="1">[1]!stdnum_A($O$105)</f>
        <v>0.58325581395348802</v>
      </c>
      <c r="O106" s="82"/>
      <c r="P106" s="77"/>
    </row>
    <row r="107" spans="1:16" x14ac:dyDescent="0.35">
      <c r="B107" s="92">
        <f ca="1">[1]!stdnum_B($C$105)</f>
        <v>0.1371975</v>
      </c>
      <c r="C107" s="82"/>
      <c r="D107" s="77"/>
      <c r="F107" s="92">
        <f ca="1">[1]!stdnum_B($G$105)</f>
        <v>0.1173728962271525</v>
      </c>
      <c r="G107" s="82"/>
      <c r="H107" s="77"/>
      <c r="J107" s="92">
        <f ca="1">[1]!onepair_B($K$105)</f>
        <v>0.16494881250000001</v>
      </c>
      <c r="K107" s="242">
        <f ca="1">[1]!onepair_B2($K$105)</f>
        <v>0.10670263293377499</v>
      </c>
      <c r="L107" s="77"/>
      <c r="N107" s="112">
        <f ca="1">[1]!stdnum_B($O$105)</f>
        <v>0.64158139534883685</v>
      </c>
      <c r="O107" s="82"/>
      <c r="P107" s="77"/>
    </row>
    <row r="108" spans="1:16" x14ac:dyDescent="0.35">
      <c r="B108" s="92">
        <f ca="1">[1]!stdnum_C($C$105)</f>
        <v>0.11338636363636363</v>
      </c>
      <c r="C108" s="82"/>
      <c r="D108" s="77"/>
      <c r="F108" s="92">
        <f ca="1">[1]!stdnum_C($G$105)</f>
        <v>0.14202120443485455</v>
      </c>
      <c r="G108" s="82"/>
      <c r="H108" s="77"/>
      <c r="J108" s="92">
        <f ca="1">[1]!onepair_C($K$105)</f>
        <v>0.14343375</v>
      </c>
      <c r="K108" s="242">
        <f ca="1">[1]!onepair_C2($K$105)</f>
        <v>0.10670263293377499</v>
      </c>
      <c r="L108" s="77"/>
      <c r="N108" s="112">
        <f ca="1">[1]!stdnum_C($O$105)</f>
        <v>0.53023255813953452</v>
      </c>
      <c r="O108" s="82"/>
      <c r="P108" s="77"/>
    </row>
    <row r="109" spans="1:16" x14ac:dyDescent="0.35">
      <c r="B109" s="92">
        <f ca="1">[1]!stdnum_D($C$105)</f>
        <v>0.15091725000000003</v>
      </c>
      <c r="C109" s="82"/>
      <c r="D109" s="77"/>
      <c r="F109" s="92">
        <f ca="1">[1]!stdnum_D($G$105)</f>
        <v>9.7002393576159085E-2</v>
      </c>
      <c r="G109" s="82"/>
      <c r="H109" s="77"/>
      <c r="J109" s="92">
        <f ca="1">[1]!onepair_D($K$105)</f>
        <v>0.14343375</v>
      </c>
      <c r="K109" s="242">
        <f ca="1">[1]!onepair_D2($K$105)</f>
        <v>0.122708027873841</v>
      </c>
      <c r="L109" s="77"/>
      <c r="N109" s="112">
        <f ca="1">[1]!stdnum_D($O$105)</f>
        <v>0.7763134883720928</v>
      </c>
      <c r="O109" s="82"/>
      <c r="P109" s="77"/>
    </row>
    <row r="110" spans="1:16" ht="16" thickBot="1" x14ac:dyDescent="0.4">
      <c r="B110" s="93">
        <f ca="1">[1]!stdnum_E($C$105)</f>
        <v>0.124725</v>
      </c>
      <c r="C110" s="84"/>
      <c r="D110" s="78"/>
      <c r="F110" s="93">
        <f ca="1">[1]!stdnum_E($G$105)</f>
        <v>0.10670263293377499</v>
      </c>
      <c r="G110" s="84"/>
      <c r="H110" s="78"/>
      <c r="J110" s="93">
        <f ca="1">[1]!onepair_E($K$105)</f>
        <v>0.16494881250000001</v>
      </c>
      <c r="K110" s="299">
        <f ca="1">[1]!onepair_E2($K$105)</f>
        <v>0.122708027873841</v>
      </c>
      <c r="L110" s="78"/>
      <c r="N110" s="113">
        <f ca="1">[1]!stdnum_E($O$105)</f>
        <v>0.70573953488372065</v>
      </c>
      <c r="O110" s="84"/>
      <c r="P110" s="78"/>
    </row>
    <row r="111" spans="1:16" ht="16" thickTop="1" x14ac:dyDescent="0.35"/>
    <row r="113" spans="1:7" x14ac:dyDescent="0.35">
      <c r="A113" s="120" t="s">
        <v>3847</v>
      </c>
    </row>
    <row r="114" spans="1:7" x14ac:dyDescent="0.35">
      <c r="A114" s="7">
        <f ca="1">RANDBETWEEN(40,120)/1000</f>
        <v>7.0000000000000007E-2</v>
      </c>
      <c r="B114" s="2" t="s">
        <v>3023</v>
      </c>
    </row>
    <row r="115" spans="1:7" x14ac:dyDescent="0.35">
      <c r="A115" s="7">
        <f ca="1">RANDBETWEEN(120,240)/1000</f>
        <v>0.16200000000000001</v>
      </c>
      <c r="B115" s="2" t="s">
        <v>1532</v>
      </c>
    </row>
    <row r="116" spans="1:7" x14ac:dyDescent="0.35">
      <c r="A116" s="159">
        <f ca="1">ROUND(D116,3)</f>
        <v>0.14499999999999999</v>
      </c>
      <c r="B116" s="2" t="s">
        <v>2230</v>
      </c>
      <c r="D116" s="159">
        <f ca="1">D117*A114+(1-D117)*A115</f>
        <v>0.14452000000000001</v>
      </c>
    </row>
    <row r="117" spans="1:7" x14ac:dyDescent="0.35">
      <c r="A117" s="7">
        <f ca="1">(A116-A115)/(A114-A115)</f>
        <v>0.18478260869565233</v>
      </c>
      <c r="B117" s="2" t="s">
        <v>2231</v>
      </c>
      <c r="D117" s="245">
        <f ca="1">RANDBETWEEN(150,850)/1000</f>
        <v>0.19</v>
      </c>
    </row>
    <row r="118" spans="1:7" ht="16" thickBot="1" x14ac:dyDescent="0.4"/>
    <row r="119" spans="1:7" ht="16.5" thickTop="1" thickBot="1" x14ac:dyDescent="0.4">
      <c r="B119" s="76" t="str">
        <f ca="1">[1]!std_ans($C$119)</f>
        <v>E</v>
      </c>
      <c r="C119" s="79" t="str">
        <f ca="1" xml:space="preserve"> "/\" &amp;RANDBETWEEN( 1,120) &amp; "/\" &amp;RANDBETWEEN( 1,120) &amp; "/\" &amp;0.1 &amp; "/\" &amp; A117</f>
        <v>/\40/\62/\0.1/\0.184782608695652</v>
      </c>
      <c r="D119" s="80" t="s">
        <v>3848</v>
      </c>
    </row>
    <row r="120" spans="1:7" ht="16" thickTop="1" x14ac:dyDescent="0.35">
      <c r="B120" s="92">
        <f ca="1">[1]!stdnum_A($C$119)</f>
        <v>0.20326086956521722</v>
      </c>
      <c r="C120" s="82"/>
      <c r="D120" s="77"/>
    </row>
    <row r="121" spans="1:7" x14ac:dyDescent="0.35">
      <c r="B121" s="92">
        <f ca="1">[1]!stdnum_B($C$119)</f>
        <v>0.22358695652173896</v>
      </c>
      <c r="C121" s="82"/>
      <c r="D121" s="77"/>
    </row>
    <row r="122" spans="1:7" x14ac:dyDescent="0.35">
      <c r="B122" s="92">
        <f ca="1">[1]!stdnum_C($C$119)</f>
        <v>0.15271289974847271</v>
      </c>
      <c r="C122" s="82"/>
      <c r="D122" s="77"/>
    </row>
    <row r="123" spans="1:7" x14ac:dyDescent="0.35">
      <c r="B123" s="92">
        <f ca="1">[1]!stdnum_D($C$119)</f>
        <v>0.16798418972331999</v>
      </c>
      <c r="C123" s="82"/>
      <c r="D123" s="77"/>
    </row>
    <row r="124" spans="1:7" ht="16" thickBot="1" x14ac:dyDescent="0.4">
      <c r="B124" s="93">
        <f ca="1">[1]!stdnum_E($C$119)</f>
        <v>0.184782608695652</v>
      </c>
      <c r="C124" s="84"/>
      <c r="D124" s="78"/>
    </row>
    <row r="125" spans="1:7" ht="16" thickTop="1" x14ac:dyDescent="0.35"/>
    <row r="127" spans="1:7" x14ac:dyDescent="0.35">
      <c r="A127" s="88" t="s">
        <v>2336</v>
      </c>
    </row>
    <row r="128" spans="1:7" x14ac:dyDescent="0.35">
      <c r="A128" s="244">
        <f ca="1">RANDBETWEEN(16,44)*5/1000</f>
        <v>0.11</v>
      </c>
      <c r="B128" s="2" t="s">
        <v>3756</v>
      </c>
      <c r="F128" s="244">
        <f ca="1">(A131^2*A128^2+(1-A131)^2*A129^2+2*A131*(1-A131)*A128*A129*A130)^0.5</f>
        <v>0.11721433359448835</v>
      </c>
      <c r="G128" s="2" t="s">
        <v>3842</v>
      </c>
    </row>
    <row r="129" spans="1:11" x14ac:dyDescent="0.35">
      <c r="A129" s="244">
        <f ca="1">IF(D129=A128,(IF(RANDBETWEEN(0,1)=0,1/1.2,1.2))*A128,D129)</f>
        <v>0.185</v>
      </c>
      <c r="B129" s="2" t="s">
        <v>3757</v>
      </c>
      <c r="D129" s="246">
        <f ca="1">RANDBETWEEN(16,44)*5/1000</f>
        <v>0.185</v>
      </c>
      <c r="F129" s="244">
        <f ca="1">A131*A128+(1-A131)*A129</f>
        <v>0.14000000000000001</v>
      </c>
      <c r="G129" s="2" t="s">
        <v>696</v>
      </c>
    </row>
    <row r="130" spans="1:11" x14ac:dyDescent="0.35">
      <c r="A130" s="115">
        <f ca="1">RANDBETWEEN(5,15)/10-1</f>
        <v>0.39999999999999991</v>
      </c>
      <c r="B130" s="2" t="s">
        <v>3843</v>
      </c>
      <c r="F130" s="25">
        <f ca="1">10000*(F129-F128)</f>
        <v>227.85666405511662</v>
      </c>
      <c r="G130" s="2" t="s">
        <v>697</v>
      </c>
    </row>
    <row r="131" spans="1:11" x14ac:dyDescent="0.35">
      <c r="A131" s="23">
        <f ca="1">RANDBETWEEN(12,16)*5/100</f>
        <v>0.6</v>
      </c>
      <c r="B131" s="2" t="s">
        <v>3758</v>
      </c>
    </row>
    <row r="132" spans="1:11" ht="16" thickBot="1" x14ac:dyDescent="0.4"/>
    <row r="133" spans="1:11" ht="16.5" thickTop="1" thickBot="1" x14ac:dyDescent="0.4">
      <c r="B133" s="76" t="str">
        <f ca="1">[1]!alpha_ans($C$133)</f>
        <v>B</v>
      </c>
      <c r="C133" s="79" t="str">
        <f ca="1" xml:space="preserve"> "/\" &amp;RANDBETWEEN( 1,5) &amp; "/\" &amp;RANDBETWEEN( 1,120) &amp; "/\" &amp;RANDBETWEEN( 1,6) &amp; "/\" &amp;RANDBETWEEN( 1,2) &amp; "/\" &amp; F128 &amp; "/\" &amp; "Mask" &amp; "/\" &amp; "Mask" &amp; "/\" &amp; F130 &amp; "/\" &amp; "Mask"</f>
        <v>/\2/\27/\1/\1/\0.117214333594488/\Mask/\Mask/\227.856664055117/\Mask</v>
      </c>
      <c r="D133" s="80" t="s">
        <v>2337</v>
      </c>
    </row>
    <row r="134" spans="1:11" ht="16" thickTop="1" x14ac:dyDescent="0.35">
      <c r="B134" s="92">
        <f ca="1">[1]!onepair_A($C$133)</f>
        <v>0.13479648363366101</v>
      </c>
      <c r="C134" s="82">
        <f ca="1">[1]!onepair_A2($C$133)</f>
        <v>227.85666405511699</v>
      </c>
      <c r="D134" s="77"/>
    </row>
    <row r="135" spans="1:11" x14ac:dyDescent="0.35">
      <c r="B135" s="92">
        <f ca="1">[1]!onepair_B($C$133)</f>
        <v>0.117214333594488</v>
      </c>
      <c r="C135" s="82">
        <f ca="1">[1]!onepair_B2($C$133)</f>
        <v>227.85666405511699</v>
      </c>
      <c r="D135" s="77"/>
    </row>
    <row r="136" spans="1:11" x14ac:dyDescent="0.35">
      <c r="B136" s="92">
        <f ca="1">[1]!onepair_C($C$133)</f>
        <v>0.15501595617871</v>
      </c>
      <c r="C136" s="82">
        <f ca="1">[1]!onepair_C2($C$133)</f>
        <v>227.85666405511699</v>
      </c>
      <c r="D136" s="77"/>
    </row>
    <row r="137" spans="1:11" x14ac:dyDescent="0.35">
      <c r="B137" s="92">
        <f ca="1">[1]!onepair_D($C$133)</f>
        <v>0.13479648363366101</v>
      </c>
      <c r="C137" s="82">
        <f ca="1">[1]!onepair_D2($C$133)</f>
        <v>198.13622961314499</v>
      </c>
      <c r="D137" s="77"/>
    </row>
    <row r="138" spans="1:11" ht="16" thickBot="1" x14ac:dyDescent="0.4">
      <c r="B138" s="93">
        <f ca="1">[1]!onepair_E($C$133)</f>
        <v>0.15501595617871</v>
      </c>
      <c r="C138" s="84">
        <f ca="1">[1]!onepair_E2($C$133)</f>
        <v>198.13622961314499</v>
      </c>
      <c r="D138" s="78"/>
    </row>
    <row r="139" spans="1:11" ht="16" thickTop="1" x14ac:dyDescent="0.35"/>
    <row r="141" spans="1:11" x14ac:dyDescent="0.35">
      <c r="A141" s="88" t="s">
        <v>1961</v>
      </c>
    </row>
    <row r="142" spans="1:11" x14ac:dyDescent="0.35">
      <c r="G142" s="100" t="s">
        <v>3058</v>
      </c>
      <c r="H142" s="100" t="s">
        <v>1941</v>
      </c>
      <c r="J142" s="2">
        <f ca="1">(RANDBETWEEN(0,1))</f>
        <v>1</v>
      </c>
    </row>
    <row r="143" spans="1:11" x14ac:dyDescent="0.35">
      <c r="A143" s="100" t="s">
        <v>3687</v>
      </c>
      <c r="B143" s="7">
        <f ca="1">RANDBETWEEN(0,40)*(IF(RANDBETWEEN(0,1)=0,1,-1))/1000</f>
        <v>-7.0000000000000001E-3</v>
      </c>
      <c r="C143" s="7">
        <f ca="1">RANDBETWEEN(40,120)/1000</f>
        <v>5.5E-2</v>
      </c>
      <c r="D143" s="7">
        <f ca="1">RANDBETWEEN(180,260)/1000</f>
        <v>0.20399999999999999</v>
      </c>
      <c r="E143" s="7">
        <f ca="1">RANDBETWEEN(120,180)/1000</f>
        <v>0.17299999999999999</v>
      </c>
      <c r="G143" s="159">
        <f ca="1">AVERAGE(B143:E143)</f>
        <v>0.10625</v>
      </c>
      <c r="H143" s="159">
        <f ca="1">STDEVP(B143:E143)</f>
        <v>8.5823583588661684E-2</v>
      </c>
      <c r="J143" s="2" t="str">
        <f ca="1">IF(J142=0,"Alpha","Zed")</f>
        <v>Zed</v>
      </c>
      <c r="K143" s="29">
        <f ca="1">IF(J142=0,A147,D147)</f>
        <v>0.59424655471044541</v>
      </c>
    </row>
    <row r="144" spans="1:11" x14ac:dyDescent="0.35">
      <c r="A144" s="100" t="s">
        <v>3688</v>
      </c>
      <c r="B144" s="7">
        <f ca="1">RANDBETWEEN(120,240)/1000</f>
        <v>0.187</v>
      </c>
      <c r="C144" s="7">
        <f ca="1">RANDBETWEEN(90,300)/1000</f>
        <v>0.20300000000000001</v>
      </c>
      <c r="D144" s="7">
        <f ca="1">RANDBETWEEN(80,180)/1000</f>
        <v>0.17199999999999999</v>
      </c>
      <c r="E144" s="7">
        <f ca="1">RANDBETWEEN(40,80)*(IF(RANDBETWEEN(0,1)=0,1,-1))/1000</f>
        <v>4.2000000000000003E-2</v>
      </c>
      <c r="G144" s="159">
        <f ca="1">AVERAGE(B144:E144)</f>
        <v>0.15100000000000002</v>
      </c>
      <c r="H144" s="159">
        <f ca="1">STDEVP(B144:E144)</f>
        <v>6.3878791472600616E-2</v>
      </c>
    </row>
    <row r="145" spans="1:24" x14ac:dyDescent="0.35">
      <c r="J145" s="247">
        <f ca="1">IF(ABS(D147-0.5)&lt;0.05,"#RECALCULATE",IF(J142=0,A147,D147))</f>
        <v>0.59424655471044541</v>
      </c>
      <c r="K145" s="2" t="str">
        <f ca="1">IF(ABS(D147-0.5)&lt;0.05,"#RECALCULATE",L145*100 &amp;IF(J142=0,"% in Alpha","% in Zed"))</f>
        <v>100% in Zed</v>
      </c>
      <c r="L145" s="247">
        <f ca="1">IF(J142=0,IF(G143&gt;G144,1,0),IF(G144&gt;G143,1,0))</f>
        <v>1</v>
      </c>
    </row>
    <row r="146" spans="1:24" x14ac:dyDescent="0.35">
      <c r="A146" s="248">
        <f ca="1">H143*H144*CORREL(B143:E143,B144:E144)</f>
        <v>-2.9912499999999974E-3</v>
      </c>
      <c r="B146" s="62" t="s">
        <v>1459</v>
      </c>
      <c r="D146" s="115">
        <f ca="1">CORREL(B143:E143,B144:E144)</f>
        <v>-0.54561886253383041</v>
      </c>
      <c r="E146" s="2" t="s">
        <v>2967</v>
      </c>
      <c r="F146" s="6" t="s">
        <v>2968</v>
      </c>
      <c r="G146" s="7">
        <f ca="1">A147*G143+D147*G144</f>
        <v>0.13284253332329246</v>
      </c>
      <c r="H146" s="244">
        <f ca="1">IF((A147^2*H143^2+D147^2*H144^2+2*A147*D147*A146)^(1/2)&lt;0.03,"#RECALCULATE",(A147^2*H143^2+D147^2*H144^2+2*A147*D147*A146)^(1/2))</f>
        <v>3.4801049887519038E-2</v>
      </c>
      <c r="J146" s="249"/>
      <c r="K146" s="2" t="str">
        <f ca="1">IF(ABS(D147-0.5)&lt;0.05,"#RECALCULATE",L146*100&amp; IF(J142=1,"% in Alpha","% in Zed"))</f>
        <v>0% in Alpha</v>
      </c>
      <c r="L146" s="249">
        <f ca="1">IF(L145=1,0,1)</f>
        <v>0</v>
      </c>
    </row>
    <row r="147" spans="1:24" x14ac:dyDescent="0.35">
      <c r="A147" s="7">
        <f ca="1">(H144^2-A146)/(H143^2+H144^2-2*A146)</f>
        <v>0.40575344528955465</v>
      </c>
      <c r="B147" s="62" t="s">
        <v>3818</v>
      </c>
      <c r="D147" s="244">
        <f ca="1">1-A147</f>
        <v>0.59424655471044541</v>
      </c>
      <c r="E147" s="62" t="s">
        <v>250</v>
      </c>
      <c r="G147" s="6" t="s">
        <v>419</v>
      </c>
      <c r="H147" s="159">
        <f ca="1">A147*H143+D147*H144</f>
        <v>7.2782966479855452E-2</v>
      </c>
    </row>
    <row r="148" spans="1:24" x14ac:dyDescent="0.35">
      <c r="G148" s="6" t="s">
        <v>420</v>
      </c>
      <c r="H148" s="25">
        <f ca="1">(H147-H146)*10000</f>
        <v>379.81916592336415</v>
      </c>
    </row>
    <row r="149" spans="1:24" ht="16" thickBot="1" x14ac:dyDescent="0.4">
      <c r="B149" s="88" t="s">
        <v>1960</v>
      </c>
      <c r="F149" s="88" t="s">
        <v>1963</v>
      </c>
      <c r="J149" s="120" t="s">
        <v>1965</v>
      </c>
      <c r="N149" s="120" t="s">
        <v>238</v>
      </c>
      <c r="R149" s="120" t="s">
        <v>2760</v>
      </c>
      <c r="V149" s="120" t="s">
        <v>421</v>
      </c>
    </row>
    <row r="150" spans="1:24" ht="16.5" thickTop="1" thickBot="1" x14ac:dyDescent="0.4">
      <c r="B150" s="76" t="str">
        <f ca="1">[1]!std_ans($C$150)</f>
        <v>A</v>
      </c>
      <c r="C150" s="79" t="str">
        <f ca="1" xml:space="preserve"> "/\" &amp;RANDBETWEEN( 1,120) &amp; "/\" &amp;RANDBETWEEN( 1,120) &amp; "/\" &amp;0.1 &amp; "/\" &amp; K143</f>
        <v>/\20/\110/\0.1/\0.594246554710445</v>
      </c>
      <c r="D150" s="80" t="s">
        <v>1962</v>
      </c>
      <c r="F150" s="76" t="str">
        <f ca="1">[1]!std_ans($G$150)</f>
        <v>E</v>
      </c>
      <c r="G150" s="79" t="str">
        <f ca="1" xml:space="preserve"> "/\" &amp;RANDBETWEEN( 1,120) &amp; "/\" &amp;RANDBETWEEN( 1,120) &amp; "/\" &amp;0.1 &amp; "/\" &amp; G146</f>
        <v>/\40/\16/\0.1/\0.132842533323292</v>
      </c>
      <c r="H150" s="80" t="s">
        <v>1964</v>
      </c>
      <c r="J150" s="76" t="str">
        <f ca="1">[1]!std_ans($K$150)</f>
        <v>C</v>
      </c>
      <c r="K150" s="79" t="str">
        <f ca="1" xml:space="preserve"> "/\" &amp;RANDBETWEEN( 1,120) &amp; "/\" &amp;RANDBETWEEN( 1,120) &amp; "/\" &amp;0.1 &amp; "/\" &amp; H146</f>
        <v>/\67/\61/\0.1/\0.034801049887519</v>
      </c>
      <c r="L150" s="80" t="s">
        <v>1966</v>
      </c>
      <c r="N150" s="76" t="str">
        <f ca="1">[1]!alpha_ans($O$150)</f>
        <v>B</v>
      </c>
      <c r="O150" s="79" t="str">
        <f ca="1" xml:space="preserve"> "/\" &amp;RANDBETWEEN( 1,5) &amp; "/\" &amp;RANDBETWEEN( 1,120) &amp; "/\" &amp;RANDBETWEEN( 1,6) &amp; "/\" &amp;RANDBETWEEN( 1,2) &amp; "/\" &amp; G146 &amp; "/\" &amp; "Mask" &amp; "/\" &amp; "Mask" &amp; "/\" &amp; H146 &amp; "/\" &amp; "Mask"</f>
        <v>/\2/\110/\4/\1/\0.132842533323292/\Mask/\Mask/\0.034801049887519/\Mask</v>
      </c>
      <c r="P150" s="80" t="s">
        <v>600</v>
      </c>
      <c r="R150" s="76" t="str">
        <f ca="1">[1]!alpha_ans($S$150)</f>
        <v>B</v>
      </c>
      <c r="S150" s="79" t="str">
        <f ca="1" xml:space="preserve"> "/\" &amp;RANDBETWEEN( 1,5) &amp; "/\" &amp;RANDBETWEEN( 1,120) &amp; "/\" &amp;RANDBETWEEN( 1,6) &amp; "/\" &amp;RANDBETWEEN( 1,2) &amp; "/\" &amp; J145 &amp; "/\" &amp; "Mask" &amp; "/\" &amp; "Mask" &amp; "/\" &amp; K145 &amp; "/\" &amp; K146</f>
        <v>/\2/\79/\2/\2/\0.594246554710445/\Mask/\Mask/\100% in Zed/\0% in Alpha</v>
      </c>
      <c r="T150" s="80" t="s">
        <v>2761</v>
      </c>
      <c r="V150" s="76" t="str">
        <f ca="1">[1]!alpha_ans($W$150)</f>
        <v>D</v>
      </c>
      <c r="W150" s="79" t="str">
        <f ca="1" xml:space="preserve"> "/\" &amp;RANDBETWEEN( 1,5) &amp; "/\" &amp;RANDBETWEEN( 1,120) &amp; "/\" &amp;RANDBETWEEN( 1,6) &amp; "/\" &amp;RANDBETWEEN( 1,2) &amp; "/\" &amp; H146 &amp; "/\" &amp; "Mask" &amp; "/\" &amp; "Mask" &amp; "/\" &amp; H148 &amp; "/\" &amp; "Mask"</f>
        <v>/\4/\97/\4/\2/\0.034801049887519/\Mask/\Mask/\379.819165923364/\Mask</v>
      </c>
      <c r="X150" s="80" t="s">
        <v>422</v>
      </c>
    </row>
    <row r="151" spans="1:24" ht="16" thickTop="1" x14ac:dyDescent="0.35">
      <c r="B151" s="112">
        <f ca="1">[1]!stdnum_A($C$150)</f>
        <v>0.59424655471044496</v>
      </c>
      <c r="C151" s="82"/>
      <c r="D151" s="77"/>
      <c r="F151" s="112">
        <f ca="1">[1]!stdnum_A($G$150)</f>
        <v>0.17681341185330168</v>
      </c>
      <c r="G151" s="82"/>
      <c r="H151" s="77"/>
      <c r="J151" s="92">
        <f ca="1">IF(H146="#RECALCULATE","#RECALCULATE",[1]!stdnum_A($K$150))</f>
        <v>2.8761198254147934E-2</v>
      </c>
      <c r="K151" s="82"/>
      <c r="L151" s="77"/>
      <c r="N151" s="112">
        <f ca="1">[1]!onepair_A($O$150)</f>
        <v>0.11551524636808</v>
      </c>
      <c r="O151" s="242">
        <f ca="1">IF(H146="#RECALCULATE","#RECALCULATE",[1]!onepair_A2($O$150))</f>
        <v>3.0261782510886098E-2</v>
      </c>
      <c r="P151" s="77"/>
      <c r="R151" s="112">
        <f ca="1">[1]!onepair_A($S$150)</f>
        <v>0.68338353791701201</v>
      </c>
      <c r="S151" s="82" t="str">
        <f ca="1">[1]!onepair_A2($S$150)</f>
        <v>100% in Zed</v>
      </c>
      <c r="T151" s="77"/>
      <c r="V151" s="92">
        <f ca="1">IF(H146="#RECALCULATE","#RECALCULATE",[1]!onepair_A($W$150))</f>
        <v>3.0261782510886098E-2</v>
      </c>
      <c r="W151" s="82">
        <f ca="1">[1]!onepair_A2($W$150)</f>
        <v>436.79204081186901</v>
      </c>
      <c r="X151" s="77"/>
    </row>
    <row r="152" spans="1:24" x14ac:dyDescent="0.35">
      <c r="B152" s="112">
        <f ca="1">[1]!stdnum_B($C$150)</f>
        <v>0.44646623193872637</v>
      </c>
      <c r="C152" s="82"/>
      <c r="D152" s="77"/>
      <c r="F152" s="112">
        <f ca="1">[1]!stdnum_B($G$150)</f>
        <v>0.19449475303863187</v>
      </c>
      <c r="G152" s="82"/>
      <c r="H152" s="250"/>
      <c r="I152" s="23"/>
      <c r="J152" s="92">
        <f ca="1">[1]!stdnum_B($K$150)</f>
        <v>4.2109270363897999E-2</v>
      </c>
      <c r="K152" s="82"/>
      <c r="L152" s="77"/>
      <c r="N152" s="112">
        <f ca="1">[1]!onepair_B($O$150)</f>
        <v>0.13284253332329199</v>
      </c>
      <c r="O152" s="242">
        <f ca="1">[1]!onepair_B2($O$150)</f>
        <v>3.4801049887519003E-2</v>
      </c>
      <c r="P152" s="77"/>
      <c r="R152" s="112">
        <f ca="1">[1]!onepair_B($S$150)</f>
        <v>0.59424655471044496</v>
      </c>
      <c r="S152" s="82" t="str">
        <f ca="1">[1]!onepair_B2($S$150)</f>
        <v>100% in Zed</v>
      </c>
      <c r="T152" s="77"/>
      <c r="V152" s="92">
        <f ca="1">[1]!onepair_B($W$150)</f>
        <v>3.4801049887519003E-2</v>
      </c>
      <c r="W152" s="82">
        <f ca="1">[1]!onepair_B2($W$150)</f>
        <v>436.79204081186901</v>
      </c>
      <c r="X152" s="77"/>
    </row>
    <row r="153" spans="1:24" x14ac:dyDescent="0.35">
      <c r="B153" s="112">
        <f ca="1">[1]!stdnum_C($C$150)</f>
        <v>0.49111285513259911</v>
      </c>
      <c r="C153" s="82"/>
      <c r="D153" s="77"/>
      <c r="F153" s="112">
        <f ca="1">[1]!stdnum_C($G$150)</f>
        <v>0.16073946532118333</v>
      </c>
      <c r="G153" s="82"/>
      <c r="H153" s="250"/>
      <c r="I153" s="23"/>
      <c r="J153" s="92">
        <f ca="1">[1]!stdnum_C($K$150)</f>
        <v>3.4801049887519003E-2</v>
      </c>
      <c r="K153" s="82"/>
      <c r="L153" s="77"/>
      <c r="N153" s="112">
        <f ca="1">[1]!onepair_C($O$150)</f>
        <v>0.13284253332329199</v>
      </c>
      <c r="O153" s="242">
        <f ca="1">[1]!onepair_C2($O$150)</f>
        <v>3.0261782510886098E-2</v>
      </c>
      <c r="P153" s="77"/>
      <c r="R153" s="112">
        <f ca="1">[1]!onepair_C($S$150)</f>
        <v>0.59424655471044496</v>
      </c>
      <c r="S153" s="82" t="str">
        <f ca="1">[1]!onepair_C2($S$150)</f>
        <v>0% in Alpha</v>
      </c>
      <c r="T153" s="77"/>
      <c r="V153" s="92">
        <f ca="1">[1]!onepair_C($W$150)</f>
        <v>4.0021207370646801E-2</v>
      </c>
      <c r="W153" s="82">
        <f ca="1">[1]!onepair_C2($W$150)</f>
        <v>379.81916592336398</v>
      </c>
      <c r="X153" s="77"/>
    </row>
    <row r="154" spans="1:24" x14ac:dyDescent="0.35">
      <c r="B154" s="112">
        <f ca="1">[1]!stdnum_D($C$150)</f>
        <v>0.540224140645859</v>
      </c>
      <c r="C154" s="82"/>
      <c r="D154" s="77"/>
      <c r="F154" s="112">
        <f ca="1">[1]!stdnum_D($G$150)</f>
        <v>0.1461267866556212</v>
      </c>
      <c r="G154" s="82"/>
      <c r="H154" s="250"/>
      <c r="I154" s="23"/>
      <c r="J154" s="92">
        <f ca="1">[1]!stdnum_D($K$150)</f>
        <v>3.8281154876270908E-2</v>
      </c>
      <c r="K154" s="82"/>
      <c r="L154" s="77"/>
      <c r="N154" s="112">
        <f ca="1">[1]!onepair_D($O$150)</f>
        <v>0.11551524636808</v>
      </c>
      <c r="O154" s="242">
        <f ca="1">[1]!onepair_D2($O$150)</f>
        <v>3.4801049887519003E-2</v>
      </c>
      <c r="P154" s="77"/>
      <c r="R154" s="112">
        <f ca="1">[1]!onepair_D($S$150)</f>
        <v>0.78589106860456304</v>
      </c>
      <c r="S154" s="82" t="str">
        <f ca="1">[1]!onepair_D2($S$150)</f>
        <v>0% in Alpha</v>
      </c>
      <c r="T154" s="77"/>
      <c r="V154" s="92">
        <f ca="1">[1]!onepair_D($W$150)</f>
        <v>3.4801049887519003E-2</v>
      </c>
      <c r="W154" s="82">
        <f ca="1">[1]!onepair_D2($W$150)</f>
        <v>379.81916592336398</v>
      </c>
      <c r="X154" s="77"/>
    </row>
    <row r="155" spans="1:24" ht="16" thickBot="1" x14ac:dyDescent="0.4">
      <c r="B155" s="113">
        <f ca="1">[1]!stdnum_E($C$150)</f>
        <v>0.40587839267156944</v>
      </c>
      <c r="C155" s="84"/>
      <c r="D155" s="78"/>
      <c r="F155" s="113">
        <f ca="1">[1]!stdnum_E($G$150)</f>
        <v>0.13284253332329199</v>
      </c>
      <c r="G155" s="84"/>
      <c r="H155" s="251"/>
      <c r="I155" s="23"/>
      <c r="J155" s="93">
        <f ca="1">[1]!stdnum_E($K$150)</f>
        <v>3.1637318079562729E-2</v>
      </c>
      <c r="K155" s="84"/>
      <c r="L155" s="78"/>
      <c r="N155" s="113">
        <f ca="1">[1]!onepair_E($O$150)</f>
        <v>0.15276891332178599</v>
      </c>
      <c r="O155" s="299">
        <f ca="1">[1]!onepair_E2($O$150)</f>
        <v>3.4801049887519003E-2</v>
      </c>
      <c r="P155" s="78"/>
      <c r="R155" s="113">
        <f ca="1">[1]!onepair_E($S$150)</f>
        <v>0.68338353791701201</v>
      </c>
      <c r="S155" s="84" t="str">
        <f ca="1">[1]!onepair_E2($S$150)</f>
        <v>0% in Alpha</v>
      </c>
      <c r="T155" s="78"/>
      <c r="V155" s="93">
        <f ca="1">[1]!onepair_E($W$150)</f>
        <v>3.0261782510886098E-2</v>
      </c>
      <c r="W155" s="84">
        <f ca="1">[1]!onepair_E2($W$150)</f>
        <v>379.81916592336398</v>
      </c>
      <c r="X155" s="78"/>
    </row>
    <row r="156" spans="1:24" ht="16" thickTop="1" x14ac:dyDescent="0.35">
      <c r="F156" s="23"/>
      <c r="H156" s="23"/>
      <c r="I156" s="23"/>
      <c r="J156" s="4"/>
    </row>
    <row r="158" spans="1:24" x14ac:dyDescent="0.35">
      <c r="A158" s="88" t="s">
        <v>261</v>
      </c>
    </row>
    <row r="159" spans="1:24" x14ac:dyDescent="0.35">
      <c r="J159" s="6" t="str">
        <f ca="1">CHOOSE(RANDBETWEEN(1,4),J162,J163,J164,J165)</f>
        <v>Junk Bonds</v>
      </c>
      <c r="K159" s="62" t="str">
        <f ca="1">CHOOSE(RANDBETWEEN(1,4),K162,K163,K164,K165)</f>
        <v>IPO Stocks</v>
      </c>
    </row>
    <row r="161" spans="1:16" x14ac:dyDescent="0.35">
      <c r="A161" s="244">
        <f ca="1">RANDBETWEEN(90,140)/1000</f>
        <v>0.10100000000000001</v>
      </c>
      <c r="B161" s="2" t="s">
        <v>403</v>
      </c>
      <c r="E161" s="252">
        <f ca="1">(A165^2-E163)/(A162^2+A165^2-2*E163)</f>
        <v>0.46540537617936223</v>
      </c>
      <c r="F161" s="2" t="s">
        <v>2678</v>
      </c>
      <c r="J161" s="2" t="s">
        <v>764</v>
      </c>
      <c r="K161" s="2" t="s">
        <v>765</v>
      </c>
    </row>
    <row r="162" spans="1:16" x14ac:dyDescent="0.35">
      <c r="A162" s="7">
        <f ca="1">RANDBETWEEN(260,385)/1000</f>
        <v>0.36</v>
      </c>
      <c r="B162" s="2" t="s">
        <v>404</v>
      </c>
      <c r="E162" s="245">
        <f ca="1">1-E161</f>
        <v>0.53459462382063783</v>
      </c>
      <c r="F162" s="2" t="s">
        <v>763</v>
      </c>
      <c r="J162" s="2" t="s">
        <v>1922</v>
      </c>
      <c r="K162" s="2" t="s">
        <v>1923</v>
      </c>
    </row>
    <row r="163" spans="1:16" x14ac:dyDescent="0.35">
      <c r="A163" s="115">
        <f ca="1">RANDBETWEEN(-10,38)/100</f>
        <v>0.09</v>
      </c>
      <c r="B163" s="2" t="s">
        <v>2967</v>
      </c>
      <c r="E163" s="4">
        <f ca="1">ROUND(A163*A165*A162,6)</f>
        <v>1.0951000000000001E-2</v>
      </c>
      <c r="F163" s="2" t="s">
        <v>1459</v>
      </c>
      <c r="J163" s="2" t="s">
        <v>1924</v>
      </c>
      <c r="K163" s="2" t="s">
        <v>766</v>
      </c>
    </row>
    <row r="164" spans="1:16" x14ac:dyDescent="0.35">
      <c r="A164" s="244">
        <f ca="1">RANDBETWEEN(150,200)/1000</f>
        <v>0.156</v>
      </c>
      <c r="B164" s="2" t="s">
        <v>2394</v>
      </c>
      <c r="E164" s="7">
        <f ca="1">E161*A161+(1-E161)*A164</f>
        <v>0.13040270431013509</v>
      </c>
      <c r="F164" s="2" t="s">
        <v>3195</v>
      </c>
      <c r="J164" s="2" t="s">
        <v>767</v>
      </c>
      <c r="K164" s="2" t="s">
        <v>768</v>
      </c>
    </row>
    <row r="165" spans="1:16" x14ac:dyDescent="0.35">
      <c r="A165" s="7">
        <f ca="1">RANDBETWEEN(260,385)/1000</f>
        <v>0.33800000000000002</v>
      </c>
      <c r="B165" s="2" t="s">
        <v>1051</v>
      </c>
      <c r="E165" s="7">
        <f ca="1">(E161^2*A162^2+(1-E161)^2*A165^2+2*E161*(1-E161)*E163)^0.5</f>
        <v>0.25723701615106864</v>
      </c>
      <c r="F165" s="2" t="s">
        <v>3253</v>
      </c>
      <c r="J165" s="2" t="s">
        <v>769</v>
      </c>
      <c r="K165" s="2" t="s">
        <v>1921</v>
      </c>
    </row>
    <row r="167" spans="1:16" ht="16" thickBot="1" x14ac:dyDescent="0.4">
      <c r="B167" s="120" t="s">
        <v>2762</v>
      </c>
      <c r="F167" s="120" t="s">
        <v>3747</v>
      </c>
      <c r="J167" s="120" t="s">
        <v>3749</v>
      </c>
      <c r="N167" s="120" t="s">
        <v>1395</v>
      </c>
    </row>
    <row r="168" spans="1:16" ht="16.5" thickTop="1" thickBot="1" x14ac:dyDescent="0.4">
      <c r="B168" s="76" t="str">
        <f ca="1">[1]!std_ans($C$168)</f>
        <v>A</v>
      </c>
      <c r="C168" s="79" t="str">
        <f ca="1" xml:space="preserve"> "/\" &amp;RANDBETWEEN( 1,120) &amp; "/\" &amp;RANDBETWEEN( 1,120) &amp; "/\" &amp;0.1 &amp; "/\" &amp; E161</f>
        <v>/\9/\11/\0.1/\0.465405376179362</v>
      </c>
      <c r="D168" s="80" t="s">
        <v>262</v>
      </c>
      <c r="F168" s="76" t="str">
        <f ca="1">[1]!std_ans($G$168)</f>
        <v>B</v>
      </c>
      <c r="G168" s="79" t="str">
        <f ca="1" xml:space="preserve"> "/\" &amp;RANDBETWEEN( 1,120) &amp; "/\" &amp;RANDBETWEEN( 1,120) &amp; "/\" &amp;0.1 &amp; "/\" &amp; E164</f>
        <v>/\27/\61/\0.1/\0.130402704310135</v>
      </c>
      <c r="H168" s="80" t="s">
        <v>3748</v>
      </c>
      <c r="J168" s="76" t="str">
        <f ca="1">[1]!std_ans($K$168)</f>
        <v>B</v>
      </c>
      <c r="K168" s="79" t="str">
        <f ca="1" xml:space="preserve"> "/\" &amp;RANDBETWEEN( 1,120) &amp; "/\" &amp;RANDBETWEEN( 1,120) &amp; "/\" &amp;0.1 &amp; "/\" &amp; E165</f>
        <v>/\54/\62/\0.1/\0.257237016151069</v>
      </c>
      <c r="L168" s="80" t="s">
        <v>3750</v>
      </c>
      <c r="N168" s="76" t="str">
        <f ca="1">[1]!alpha_ans($O$168)</f>
        <v>B</v>
      </c>
      <c r="O168" s="79" t="str">
        <f ca="1" xml:space="preserve"> "/\" &amp;RANDBETWEEN( 1,5) &amp; "/\" &amp;RANDBETWEEN( 1,120) &amp; "/\" &amp;RANDBETWEEN( 1,6) &amp; "/\" &amp;RANDBETWEEN( 1,2) &amp; "/\" &amp; E164 &amp; "/\" &amp; "Mask" &amp; "/\" &amp; "Mask" &amp; "/\" &amp; E165 &amp; "/\" &amp; "Mask"</f>
        <v>/\2/\22/\6/\1/\0.130402704310135/\Mask/\Mask/\0.257237016151069/\Mask</v>
      </c>
      <c r="P168" s="80" t="s">
        <v>3712</v>
      </c>
    </row>
    <row r="169" spans="1:16" ht="16" thickTop="1" x14ac:dyDescent="0.35">
      <c r="B169" s="305">
        <f ca="1">[1]!stdnum_A($C$168)</f>
        <v>0.46540537617936201</v>
      </c>
      <c r="C169" s="82"/>
      <c r="D169" s="77"/>
      <c r="F169" s="305">
        <f ca="1">[1]!stdnum_A($G$168)</f>
        <v>0.14344297474114853</v>
      </c>
      <c r="G169" s="82"/>
      <c r="H169" s="77"/>
      <c r="J169" s="92">
        <f ca="1">[1]!stdnum_A($K$168)</f>
        <v>0.21259257533146195</v>
      </c>
      <c r="K169" s="82"/>
      <c r="L169" s="77"/>
      <c r="N169" s="92">
        <f ca="1">[1]!onepair_A($O$168)</f>
        <v>0.13040270431013501</v>
      </c>
      <c r="O169" s="242">
        <f ca="1">[1]!onepair_A2($O$168)</f>
        <v>0.22368436187049501</v>
      </c>
      <c r="P169" s="77"/>
    </row>
    <row r="170" spans="1:16" x14ac:dyDescent="0.35">
      <c r="B170" s="305">
        <f ca="1">[1]!stdnum_B($C$168)</f>
        <v>0.68140001126420413</v>
      </c>
      <c r="C170" s="82"/>
      <c r="D170" s="77"/>
      <c r="F170" s="305">
        <f ca="1">[1]!stdnum_B($G$168)</f>
        <v>0.13040270431013501</v>
      </c>
      <c r="G170" s="82"/>
      <c r="H170" s="77"/>
      <c r="J170" s="92">
        <f ca="1">[1]!stdnum_B($K$168)</f>
        <v>0.25723701615106898</v>
      </c>
      <c r="K170" s="82"/>
      <c r="L170" s="77"/>
      <c r="N170" s="92">
        <f ca="1">[1]!onepair_B($O$168)</f>
        <v>0.13040270431013501</v>
      </c>
      <c r="O170" s="242">
        <f ca="1">[1]!onepair_B2($O$168)</f>
        <v>0.25723701615106898</v>
      </c>
      <c r="P170" s="77"/>
    </row>
    <row r="171" spans="1:16" x14ac:dyDescent="0.35">
      <c r="B171" s="305">
        <f ca="1">[1]!stdnum_C($C$168)</f>
        <v>0.51194591379729826</v>
      </c>
      <c r="C171" s="82"/>
      <c r="D171" s="77"/>
      <c r="F171" s="305">
        <f ca="1">[1]!stdnum_C($G$168)</f>
        <v>0.11854791300921363</v>
      </c>
      <c r="G171" s="82"/>
      <c r="H171" s="77"/>
      <c r="J171" s="92">
        <f ca="1">[1]!stdnum_C($K$168)</f>
        <v>0.23385183286460814</v>
      </c>
      <c r="K171" s="82"/>
      <c r="L171" s="77"/>
      <c r="N171" s="92">
        <f ca="1">[1]!onepair_C($O$168)</f>
        <v>0.113393655921857</v>
      </c>
      <c r="O171" s="242">
        <f ca="1">[1]!onepair_C2($O$168)</f>
        <v>0.22368436187049501</v>
      </c>
      <c r="P171" s="77"/>
    </row>
    <row r="172" spans="1:16" x14ac:dyDescent="0.35">
      <c r="B172" s="305">
        <f ca="1">[1]!stdnum_D($C$168)</f>
        <v>0.56314050517702807</v>
      </c>
      <c r="C172" s="82"/>
      <c r="D172" s="77"/>
      <c r="F172" s="305">
        <f ca="1">[1]!stdnum_D($G$168)</f>
        <v>0.10777083000837603</v>
      </c>
      <c r="G172" s="82"/>
      <c r="H172" s="77"/>
      <c r="J172" s="92">
        <f ca="1">[1]!stdnum_D($K$168)</f>
        <v>0.31125678954279351</v>
      </c>
      <c r="K172" s="82"/>
      <c r="L172" s="77"/>
      <c r="N172" s="92">
        <f ca="1">[1]!onepair_D($O$168)</f>
        <v>9.8603179062483906E-2</v>
      </c>
      <c r="O172" s="242">
        <f ca="1">[1]!onepair_D2($O$168)</f>
        <v>0.25723701615106898</v>
      </c>
      <c r="P172" s="77"/>
    </row>
    <row r="173" spans="1:16" ht="16" thickBot="1" x14ac:dyDescent="0.4">
      <c r="B173" s="306">
        <f ca="1">[1]!stdnum_E($C$168)</f>
        <v>0.61945455569473107</v>
      </c>
      <c r="C173" s="84"/>
      <c r="D173" s="78"/>
      <c r="F173" s="306">
        <f ca="1">[1]!stdnum_E($G$168)</f>
        <v>0.1577872722152634</v>
      </c>
      <c r="G173" s="84"/>
      <c r="H173" s="78"/>
      <c r="J173" s="93">
        <f ca="1">[1]!stdnum_E($K$168)</f>
        <v>0.28296071776617587</v>
      </c>
      <c r="K173" s="84"/>
      <c r="L173" s="78"/>
      <c r="N173" s="93">
        <f ca="1">[1]!onepair_E($O$168)</f>
        <v>0.113393655921857</v>
      </c>
      <c r="O173" s="299">
        <f ca="1">[1]!onepair_E2($O$168)</f>
        <v>0.25723701615106898</v>
      </c>
      <c r="P173" s="78"/>
    </row>
    <row r="174" spans="1:16" ht="16" thickTop="1" x14ac:dyDescent="0.35"/>
    <row r="175" spans="1:16" x14ac:dyDescent="0.35">
      <c r="I175" s="2" t="s">
        <v>3849</v>
      </c>
      <c r="J175" s="2">
        <f ca="1">(RANDBETWEEN(0,1))</f>
        <v>1</v>
      </c>
      <c r="K175" s="2">
        <f ca="1">(RANDBETWEEN(0,1))</f>
        <v>1</v>
      </c>
      <c r="L175" s="2">
        <f ca="1">(RANDBETWEEN(0,1))</f>
        <v>0</v>
      </c>
      <c r="M175" s="2">
        <f ca="1">(RANDBETWEEN(0,1))</f>
        <v>1</v>
      </c>
    </row>
    <row r="176" spans="1:16" x14ac:dyDescent="0.35">
      <c r="A176" s="88" t="s">
        <v>281</v>
      </c>
      <c r="J176" s="2" t="s">
        <v>2972</v>
      </c>
      <c r="K176" s="2" t="str">
        <f ca="1">"If the expected return is " &amp; IF(K175=0,H180,H181) &amp; " for " &amp;  IF(K175=0,F180,F181)  &amp; " than for " &amp;  IF(K175=1,F180,F181)  &amp; ", then dominant portfolios comprise exclusively positions that allocate between " &amp; 100*ROUND(IF(L175=0,F178,F179),3) &amp; "% and " &amp;  IF(L175=0,E178,E179) &amp; " in " &amp;   IF(L175=0,"X","Y") &amp; IF(OR(F178&gt;0.95,F178&lt;0.05)," #RECALCULATE","")</f>
        <v>If the expected return is less for X than for Y, then dominant portfolios comprise exclusively positions that allocate between 52.4% and 0% in X</v>
      </c>
    </row>
    <row r="177" spans="1:12" x14ac:dyDescent="0.35">
      <c r="A177" s="244">
        <f ca="1">RANDBETWEEN(16,44)*5/1000</f>
        <v>0.125</v>
      </c>
      <c r="B177" s="2" t="s">
        <v>3756</v>
      </c>
      <c r="F177" s="244">
        <f ca="1">(A180^2*A177^2+(1-A180)^2*A178^2+2*A180*(1-A180)*A177*A178*A179)^0.5</f>
        <v>0.10824047302187847</v>
      </c>
      <c r="G177" s="2" t="s">
        <v>3842</v>
      </c>
      <c r="J177" s="2" t="s">
        <v>2516</v>
      </c>
      <c r="K177" s="2" t="str">
        <f ca="1">"If the expected return is " &amp; IF(K175=0,H180,H181) &amp; " for " &amp;  IF(K175=1,F180,F181)  &amp; " than for " &amp;  IF(K175=0,F180,F181)  &amp; ", then dominant portfolios comprise exclusively positions that allocate between " &amp; 100*ROUND(IF(L175=0,F178,F179),3) &amp; "% and " &amp;  IF(L175=0,E178,E179) &amp; " in " &amp;   IF(L175=0,"X","Y")</f>
        <v>If the expected return is less for Y than for X, then dominant portfolios comprise exclusively positions that allocate between 52.4% and 0% in X</v>
      </c>
    </row>
    <row r="178" spans="1:12" x14ac:dyDescent="0.35">
      <c r="A178" s="244">
        <f ca="1">IF(D178=A177,(IF(RANDBETWEEN(0,1)=0,1/1.2,1.2))*A177,D178)</f>
        <v>0.13</v>
      </c>
      <c r="B178" s="2" t="s">
        <v>3757</v>
      </c>
      <c r="D178" s="246">
        <f ca="1">RANDBETWEEN(16,44)*5/1000</f>
        <v>0.13</v>
      </c>
      <c r="E178" s="4" t="str">
        <f ca="1">IF(J175=0,"100%","0%")</f>
        <v>0%</v>
      </c>
      <c r="F178" s="244">
        <f ca="1">(A178^2-A177*A178*A179)/(A177^2+A178^2-2*A177*A178*A179)</f>
        <v>0.52449567723342949</v>
      </c>
      <c r="G178" s="2" t="s">
        <v>1090</v>
      </c>
      <c r="J178" s="4"/>
      <c r="K178" s="327" t="str">
        <f ca="1">"If the expected return is " &amp; IF(K175=1,H180,H181) &amp; " for " &amp;  IF(K175=1,F180,F181)  &amp; " than for " &amp;  IF(K175=0,F180,F181)  &amp; ", then dominant portfolios comprise exclusively positions that allocate between " &amp; 100*ROUND(IF(L175=1,F178,F179),3) &amp; "% and " &amp;  IF(L175=0,E178,E179) &amp; " in " &amp;   IF(L175=0,"X","Y")</f>
        <v>If the expected return is greater for Y than for X, then dominant portfolios comprise exclusively positions that allocate between 47.6% and 0% in X</v>
      </c>
    </row>
    <row r="179" spans="1:12" x14ac:dyDescent="0.35">
      <c r="A179" s="115">
        <f ca="1">RANDBETWEEN(5,15)/10-1</f>
        <v>0.19999999999999996</v>
      </c>
      <c r="B179" s="2" t="s">
        <v>3843</v>
      </c>
      <c r="E179" s="4" t="str">
        <f ca="1">IF(J175=1,"100%","0%")</f>
        <v>100%</v>
      </c>
      <c r="F179" s="244">
        <f ca="1">1-F178</f>
        <v>0.47550432276657051</v>
      </c>
      <c r="G179" s="2" t="s">
        <v>1091</v>
      </c>
      <c r="J179" s="4"/>
      <c r="K179" s="2" t="str">
        <f ca="1">"If the expected return is " &amp; IF(K175=1,H180,H181) &amp; " for " &amp;  IF(K175=1,F180,F181)  &amp; " than for " &amp;  IF(K175=0,F180,F181)  &amp; ", then dominant portfolios comprise exclusively positions that allocate between " &amp; 100*ROUND(IF(L175=1,F178,F179),3) &amp; "% and " &amp;  IF(L175=0,E178,E179) &amp; " in " &amp;   IF(L175=1,"X","Y")</f>
        <v>If the expected return is greater for Y than for X, then dominant portfolios comprise exclusively positions that allocate between 47.6% and 0% in Y</v>
      </c>
    </row>
    <row r="180" spans="1:12" x14ac:dyDescent="0.35">
      <c r="A180" s="23">
        <f ca="1">RANDBETWEEN(12,16)*5/100</f>
        <v>0.8</v>
      </c>
      <c r="B180" s="2" t="s">
        <v>3758</v>
      </c>
      <c r="E180" s="7">
        <f ca="1">IF(J175=0,F178,F179)</f>
        <v>0.47550432276657051</v>
      </c>
      <c r="F180" s="4" t="str">
        <f ca="1">IF(J175=0,"X","Y")</f>
        <v>Y</v>
      </c>
      <c r="G180" s="2" t="s">
        <v>1078</v>
      </c>
      <c r="H180" s="2" t="s">
        <v>1088</v>
      </c>
      <c r="J180" s="4"/>
      <c r="K180" s="2" t="str">
        <f ca="1">"If the expected return is " &amp; IF(K175=M175,H180,H181) &amp; " for " &amp;  IF(K175=1,F180,F181)  &amp; " than for " &amp;  IF(K175=0,F180,F181)  &amp; ", then dominant portfolios comprise exclusively positions that allocate between " &amp; 100*ROUND(IF(L175=1,F178,F179),3) &amp; "% and " &amp;  IF(L175=1,E178,E179) &amp; " in " &amp;   IF(L175=0,"X","Y")</f>
        <v>If the expected return is greater for Y than for X, then dominant portfolios comprise exclusively positions that allocate between 47.6% and 100% in X</v>
      </c>
    </row>
    <row r="181" spans="1:12" x14ac:dyDescent="0.35">
      <c r="F181" s="4" t="str">
        <f ca="1">IF(J175=1,"X","Y")</f>
        <v>X</v>
      </c>
      <c r="G181" s="2" t="s">
        <v>1087</v>
      </c>
      <c r="H181" s="2" t="s">
        <v>1089</v>
      </c>
      <c r="J181" s="4"/>
    </row>
    <row r="182" spans="1:12" ht="16" thickBot="1" x14ac:dyDescent="0.4">
      <c r="B182" s="120" t="s">
        <v>280</v>
      </c>
      <c r="F182" s="120" t="s">
        <v>978</v>
      </c>
      <c r="J182" s="120" t="s">
        <v>1553</v>
      </c>
    </row>
    <row r="183" spans="1:12" ht="16.5" thickTop="1" thickBot="1" x14ac:dyDescent="0.4">
      <c r="B183" s="76" t="str">
        <f ca="1">[1]!std_ans($C$183)</f>
        <v>C</v>
      </c>
      <c r="C183" s="79" t="str">
        <f ca="1" xml:space="preserve"> "/\" &amp;RANDBETWEEN( 1,120) &amp; "/\" &amp;RANDBETWEEN( 1,120) &amp; "/\" &amp;0.1 &amp; "/\" &amp; F177</f>
        <v>/\31/\93/\0.1/\0.108240473021878</v>
      </c>
      <c r="D183" s="80" t="s">
        <v>282</v>
      </c>
      <c r="F183" s="76" t="str">
        <f ca="1">[1]!std_ans($G$183)</f>
        <v>D</v>
      </c>
      <c r="G183" s="79" t="str">
        <f ca="1" xml:space="preserve"> "/\" &amp;RANDBETWEEN( 1,120) &amp; "/\" &amp;RANDBETWEEN( 1,120) &amp; "/\" &amp;0.1 &amp; "/\" &amp; E180</f>
        <v>/\117/\115/\0.1/\0.475504322766571</v>
      </c>
      <c r="H183" s="80" t="s">
        <v>979</v>
      </c>
      <c r="J183" s="76" t="str">
        <f ca="1">[1]!std_ans($K$183)</f>
        <v>D</v>
      </c>
      <c r="K183" s="79" t="str">
        <f ca="1" xml:space="preserve"> "/\" &amp;RANDBETWEEN( 1,120) &amp; "/\" &amp; K176 &amp; "/\" &amp; K177 &amp; "/\" &amp; K178 &amp; "/\" &amp; K179 &amp; "/\" &amp; K180</f>
        <v>/\117/\If the expected return is less for X than for Y, then dominant portfolios comprise exclusively positions that allocate between 52.4% and 0% in X/\If the expected return is less for Y than for X, then dominant portfolios comprise exclusively positions that allocate between 52.4% and 0% in X/\If the expected return is greater for Y than for X, then dominant portfolios comprise exclusively positions that allocate between 47.6% and 0% in X/\If the expected return is greater for Y than for X, then dominant portfolios comprise exclusively positions that allocate between 47.6% and 0% in Y/\If the expected return is greater for Y than for X, then dominant portfolios comprise exclusively positions that allocate between 47.6% and 100% in X</v>
      </c>
      <c r="L183" s="80" t="s">
        <v>1554</v>
      </c>
    </row>
    <row r="184" spans="1:12" ht="16" thickTop="1" x14ac:dyDescent="0.35">
      <c r="B184" s="92">
        <f ca="1">[1]!stdnum_A($C$183)</f>
        <v>0.11906452032406581</v>
      </c>
      <c r="C184" s="82"/>
      <c r="D184" s="77"/>
      <c r="F184" s="305">
        <f ca="1">[1]!stdnum_A($G$183)</f>
        <v>0.39297877914592644</v>
      </c>
      <c r="G184" s="82"/>
      <c r="H184" s="77"/>
      <c r="J184" s="112" t="str">
        <f ca="1">[1]!simpleV_A($K$183)</f>
        <v>If the expected return is greater for Y than for X, then dominant portfolios comprise exclusively positions that allocate between 47.6% and 100% in X</v>
      </c>
      <c r="K184" s="82"/>
      <c r="L184" s="77"/>
    </row>
    <row r="185" spans="1:12" x14ac:dyDescent="0.35">
      <c r="B185" s="92">
        <f ca="1">[1]!stdnum_B($C$183)</f>
        <v>8.9454936381717351E-2</v>
      </c>
      <c r="C185" s="82"/>
      <c r="D185" s="77"/>
      <c r="F185" s="305">
        <f ca="1">[1]!stdnum_B($G$183)</f>
        <v>0.35725343558720574</v>
      </c>
      <c r="G185" s="82"/>
      <c r="H185" s="77"/>
      <c r="J185" s="112" t="str">
        <f ca="1">[1]!simpleV_B($K$183)</f>
        <v>If the expected return is greater for Y than for X, then dominant portfolios comprise exclusively positions that allocate between 47.6% and 0% in Y</v>
      </c>
      <c r="K185" s="82"/>
      <c r="L185" s="77"/>
    </row>
    <row r="186" spans="1:12" x14ac:dyDescent="0.35">
      <c r="B186" s="92">
        <f ca="1">[1]!stdnum_C($C$183)</f>
        <v>0.108240473021878</v>
      </c>
      <c r="C186" s="82"/>
      <c r="D186" s="77"/>
      <c r="F186" s="305">
        <f ca="1">[1]!stdnum_C($G$183)</f>
        <v>0.4322766570605191</v>
      </c>
      <c r="G186" s="82"/>
      <c r="H186" s="77"/>
      <c r="J186" s="112" t="str">
        <f ca="1">[1]!simpleV_C($K$183)</f>
        <v>If the expected return is less for Y than for X, then dominant portfolios comprise exclusively positions that allocate between 52.4% and 0% in X</v>
      </c>
      <c r="K186" s="82"/>
      <c r="L186" s="77"/>
    </row>
    <row r="187" spans="1:12" x14ac:dyDescent="0.35">
      <c r="B187" s="92">
        <f ca="1">[1]!stdnum_D($C$183)</f>
        <v>8.1322669437924849E-2</v>
      </c>
      <c r="C187" s="82"/>
      <c r="D187" s="77"/>
      <c r="F187" s="305">
        <f ca="1">[1]!stdnum_D($G$183)</f>
        <v>0.47550432276657101</v>
      </c>
      <c r="G187" s="82"/>
      <c r="H187" s="77"/>
      <c r="J187" s="112" t="str">
        <f ca="1">[1]!simpleV_D($K$183)</f>
        <v>If the expected return is less for X than for Y, then dominant portfolios comprise exclusively positions that allocate between 52.4% and 0% in X</v>
      </c>
      <c r="K187" s="82"/>
      <c r="L187" s="77"/>
    </row>
    <row r="188" spans="1:12" ht="16" thickBot="1" x14ac:dyDescent="0.4">
      <c r="B188" s="93">
        <f ca="1">[1]!stdnum_E($C$183)</f>
        <v>9.8400430019889087E-2</v>
      </c>
      <c r="C188" s="84"/>
      <c r="D188" s="78"/>
      <c r="F188" s="306">
        <f ca="1">[1]!stdnum_E($G$183)</f>
        <v>0.32477585053382341</v>
      </c>
      <c r="G188" s="84"/>
      <c r="H188" s="78"/>
      <c r="J188" s="113" t="str">
        <f ca="1">[1]!simpleV_E($K$183)</f>
        <v>If the expected return is greater for Y than for X, then dominant portfolios comprise exclusively positions that allocate between 47.6% and 0% in X</v>
      </c>
      <c r="K188" s="84"/>
      <c r="L188" s="78"/>
    </row>
    <row r="189" spans="1:12" ht="16" thickTop="1" x14ac:dyDescent="0.35"/>
    <row r="191" spans="1:12" x14ac:dyDescent="0.35">
      <c r="A191" s="88" t="s">
        <v>1556</v>
      </c>
    </row>
    <row r="192" spans="1:12" x14ac:dyDescent="0.35">
      <c r="A192" s="244">
        <f ca="1">RANDBETWEEN(16,44)*5/1000</f>
        <v>0.12</v>
      </c>
      <c r="B192" s="2" t="s">
        <v>3756</v>
      </c>
      <c r="F192" s="244">
        <f ca="1">(A195^2*A192^2+(1-A195)^2*A193^2+2*A195*(1-A195)*A192*A193*A194)^0.5</f>
        <v>9.2951600308978019E-2</v>
      </c>
      <c r="G192" s="2" t="s">
        <v>3572</v>
      </c>
    </row>
    <row r="193" spans="1:8" x14ac:dyDescent="0.35">
      <c r="A193" s="244">
        <f ca="1">IF(D193=A192,(IF(RANDBETWEEN(0,1)=0,1/1.2,1.2))*A192,D193)</f>
        <v>0.2</v>
      </c>
      <c r="B193" s="2" t="s">
        <v>3757</v>
      </c>
      <c r="D193" s="246">
        <f ca="1">RANDBETWEEN(16,44)*5/1000</f>
        <v>0.2</v>
      </c>
      <c r="F193" s="244">
        <f ca="1">(A193^2-A192*A193*A194)/(A192^2+A193^2-2*A192*A193*A194)</f>
        <v>0.70000000000000007</v>
      </c>
      <c r="G193" s="2" t="s">
        <v>602</v>
      </c>
    </row>
    <row r="194" spans="1:8" x14ac:dyDescent="0.35">
      <c r="A194" s="115">
        <f ca="1">RANDBETWEEN(5,15)/10-1</f>
        <v>-0.19999999999999996</v>
      </c>
      <c r="B194" s="2" t="s">
        <v>3843</v>
      </c>
      <c r="F194" s="244">
        <f ca="1">1-F193</f>
        <v>0.29999999999999993</v>
      </c>
      <c r="G194" s="2" t="s">
        <v>603</v>
      </c>
    </row>
    <row r="195" spans="1:8" x14ac:dyDescent="0.35">
      <c r="A195" s="23">
        <f ca="1">RANDBETWEEN(12,16)*5/100</f>
        <v>0.7</v>
      </c>
      <c r="B195" s="2" t="s">
        <v>3571</v>
      </c>
      <c r="F195" s="244">
        <f ca="1">(F193^2*A192^2+(1-F193)^2*A193^2+2*F193*(1-F193)*A192*A193*A194)^0.5</f>
        <v>9.2951600308978019E-2</v>
      </c>
      <c r="G195" s="2" t="s">
        <v>459</v>
      </c>
    </row>
    <row r="196" spans="1:8" x14ac:dyDescent="0.35">
      <c r="A196" s="16"/>
      <c r="B196" s="16"/>
      <c r="C196" s="16"/>
      <c r="D196" s="16"/>
      <c r="E196" s="16"/>
      <c r="F196" s="25">
        <f ca="1">IF(10000*(A195*A192+(1-A195)*A193-F192)&lt;100,"#RECALCULATE",10000*(A195*A192+(1-A195)*A193-F192))</f>
        <v>510.48399691021996</v>
      </c>
      <c r="G196" s="2" t="s">
        <v>3638</v>
      </c>
    </row>
    <row r="197" spans="1:8" x14ac:dyDescent="0.35">
      <c r="F197" s="25">
        <f ca="1">IF(10000*(F193*A192+F194*A193-F195)&lt;100,"#RECALCULATE",10000*(F193*A192+F194*A193-F195))</f>
        <v>510.48399691021967</v>
      </c>
      <c r="G197" s="2" t="s">
        <v>3639</v>
      </c>
    </row>
    <row r="199" spans="1:8" ht="16" thickBot="1" x14ac:dyDescent="0.4">
      <c r="B199" s="120" t="s">
        <v>1555</v>
      </c>
      <c r="F199" s="120" t="s">
        <v>2415</v>
      </c>
    </row>
    <row r="200" spans="1:8" ht="16.5" thickTop="1" thickBot="1" x14ac:dyDescent="0.4">
      <c r="B200" s="76" t="str">
        <f ca="1">[1]!std_ans($C$200)</f>
        <v>A</v>
      </c>
      <c r="C200" s="79" t="str">
        <f ca="1" xml:space="preserve"> "/\" &amp;RANDBETWEEN( 1,120) &amp; "/\" &amp;RANDBETWEEN( 1,120) &amp; "/\" &amp;0.1 &amp; "/\" &amp; F197</f>
        <v>/\20/\20/\0.1/\510.48399691022</v>
      </c>
      <c r="D200" s="80" t="s">
        <v>1557</v>
      </c>
      <c r="F200" s="76" t="str">
        <f ca="1">[1]!std_ans($G$200)</f>
        <v>D</v>
      </c>
      <c r="G200" s="79" t="str">
        <f ca="1" xml:space="preserve"> "/\" &amp;RANDBETWEEN( 1,120) &amp; "/\" &amp;RANDBETWEEN( 1,120) &amp; "/\" &amp;0.1 &amp; "/\" &amp; F196</f>
        <v>/\35/\95/\0.1/\510.48399691022</v>
      </c>
      <c r="H200" s="80" t="s">
        <v>2609</v>
      </c>
    </row>
    <row r="201" spans="1:8" ht="16" thickTop="1" x14ac:dyDescent="0.35">
      <c r="B201" s="74">
        <f ca="1">IF(F197="#RECALCULATE","#RECALCULATE",[1]!stdnum_A($C$200))</f>
        <v>510.48399691022001</v>
      </c>
      <c r="C201" s="82"/>
      <c r="D201" s="77"/>
      <c r="F201" s="74">
        <f ca="1">[1]!stdnum_A($G$200)</f>
        <v>561.53239660124211</v>
      </c>
      <c r="G201" s="82"/>
      <c r="H201" s="77"/>
    </row>
    <row r="202" spans="1:8" x14ac:dyDescent="0.35">
      <c r="B202" s="74">
        <f ca="1">[1]!stdnum_B($C$200)</f>
        <v>617.68563626136631</v>
      </c>
      <c r="C202" s="82"/>
      <c r="D202" s="77"/>
      <c r="F202" s="74">
        <f ca="1">[1]!stdnum_B($G$200)</f>
        <v>464.07636082747274</v>
      </c>
      <c r="G202" s="82"/>
      <c r="H202" s="77"/>
    </row>
    <row r="203" spans="1:8" x14ac:dyDescent="0.35">
      <c r="B203" s="74">
        <f ca="1">[1]!stdnum_C($C$200)</f>
        <v>747.39961987625338</v>
      </c>
      <c r="C203" s="82"/>
      <c r="D203" s="77"/>
      <c r="F203" s="74">
        <f ca="1">[1]!stdnum_C($G$200)</f>
        <v>421.88760075224792</v>
      </c>
      <c r="G203" s="82"/>
      <c r="H203" s="77"/>
    </row>
    <row r="204" spans="1:8" x14ac:dyDescent="0.35">
      <c r="B204" s="74">
        <f ca="1">[1]!stdnum_D($C$200)</f>
        <v>679.45419988750302</v>
      </c>
      <c r="C204" s="82"/>
      <c r="D204" s="77"/>
      <c r="F204" s="74">
        <f ca="1">[1]!stdnum_D($G$200)</f>
        <v>510.48399691022001</v>
      </c>
      <c r="G204" s="82"/>
      <c r="H204" s="77"/>
    </row>
    <row r="205" spans="1:8" ht="16" thickBot="1" x14ac:dyDescent="0.4">
      <c r="B205" s="75">
        <f ca="1">[1]!stdnum_E($C$200)</f>
        <v>561.53239660124211</v>
      </c>
      <c r="C205" s="84"/>
      <c r="D205" s="78"/>
      <c r="F205" s="75">
        <f ca="1">[1]!stdnum_E($G$200)</f>
        <v>383.53418250204345</v>
      </c>
      <c r="G205" s="84"/>
      <c r="H205" s="78"/>
    </row>
    <row r="206" spans="1:8" ht="16" thickTop="1" x14ac:dyDescent="0.35"/>
    <row r="208" spans="1:8" x14ac:dyDescent="0.35">
      <c r="A208" s="120" t="s">
        <v>2610</v>
      </c>
    </row>
    <row r="209" spans="1:15" x14ac:dyDescent="0.35">
      <c r="A209" s="7">
        <f ca="1">RANDBETWEEN(14,20)*5/1000</f>
        <v>8.5000000000000006E-2</v>
      </c>
      <c r="B209" s="2" t="s">
        <v>1144</v>
      </c>
      <c r="E209" s="19">
        <f ca="1">A209*A210</f>
        <v>0.11050000000000001</v>
      </c>
      <c r="F209" s="2" t="s">
        <v>2956</v>
      </c>
    </row>
    <row r="210" spans="1:15" x14ac:dyDescent="0.35">
      <c r="A210" s="115">
        <f ca="1">RANDBETWEEN(14,30)*5/100</f>
        <v>1.3</v>
      </c>
      <c r="B210" s="2" t="s">
        <v>2506</v>
      </c>
    </row>
    <row r="211" spans="1:15" ht="16" thickBot="1" x14ac:dyDescent="0.4"/>
    <row r="212" spans="1:15" ht="16.5" thickTop="1" thickBot="1" x14ac:dyDescent="0.4">
      <c r="B212" s="76" t="str">
        <f ca="1">[1]!std_ans($C$212)</f>
        <v>C</v>
      </c>
      <c r="C212" s="79" t="str">
        <f ca="1" xml:space="preserve"> "/\" &amp;RANDBETWEEN( 1,120) &amp; "/\" &amp;RANDBETWEEN( 1,120) &amp; "/\" &amp;0.1 &amp; "/\" &amp; E209</f>
        <v>/\91/\16/\0.1/\0.1105</v>
      </c>
      <c r="D212" s="80" t="s">
        <v>2611</v>
      </c>
    </row>
    <row r="213" spans="1:15" ht="16" thickTop="1" x14ac:dyDescent="0.35">
      <c r="B213" s="92">
        <f ca="1">[1]!stdnum_A($C$212)</f>
        <v>0.16178305000000004</v>
      </c>
      <c r="C213" s="82"/>
      <c r="D213" s="77"/>
    </row>
    <row r="214" spans="1:15" x14ac:dyDescent="0.35">
      <c r="B214" s="92">
        <f ca="1">[1]!stdnum_B($C$212)</f>
        <v>0.12155000000000001</v>
      </c>
      <c r="C214" s="82"/>
      <c r="D214" s="77"/>
    </row>
    <row r="215" spans="1:15" x14ac:dyDescent="0.35">
      <c r="B215" s="92">
        <f ca="1">[1]!stdnum_C($C$212)</f>
        <v>0.1105</v>
      </c>
      <c r="C215" s="82"/>
      <c r="D215" s="77"/>
    </row>
    <row r="216" spans="1:15" x14ac:dyDescent="0.35">
      <c r="B216" s="92">
        <f ca="1">[1]!stdnum_D($C$212)</f>
        <v>0.14707550000000005</v>
      </c>
      <c r="C216" s="82"/>
      <c r="D216" s="77"/>
    </row>
    <row r="217" spans="1:15" ht="16" thickBot="1" x14ac:dyDescent="0.4">
      <c r="B217" s="93">
        <f ca="1">[1]!stdnum_E($C$212)</f>
        <v>0.13370500000000002</v>
      </c>
      <c r="C217" s="84"/>
      <c r="D217" s="78"/>
    </row>
    <row r="218" spans="1:15" ht="16" thickTop="1" x14ac:dyDescent="0.35"/>
    <row r="220" spans="1:15" x14ac:dyDescent="0.35">
      <c r="A220" s="88" t="s">
        <v>716</v>
      </c>
    </row>
    <row r="221" spans="1:15" x14ac:dyDescent="0.35">
      <c r="A221" s="115">
        <f ca="1">RANDBETWEEN(50,150)/100</f>
        <v>0.69</v>
      </c>
      <c r="B221" s="2" t="s">
        <v>960</v>
      </c>
      <c r="E221" s="29">
        <f ca="1">A225+A221*A226</f>
        <v>9.5950000000000008E-2</v>
      </c>
      <c r="F221" s="2" t="s">
        <v>2060</v>
      </c>
      <c r="L221" s="6" t="s">
        <v>2062</v>
      </c>
      <c r="M221" s="62" t="str">
        <f ca="1">IF(AND(A222&gt;=E221,A224&gt;=E222),E224,IF(A222&gt;=E221,E225,IF(A224&gt;=E222,E226, E227)))</f>
        <v>Add either one, since for both the expected returns exceed required returns.</v>
      </c>
    </row>
    <row r="222" spans="1:15" x14ac:dyDescent="0.35">
      <c r="A222" s="19">
        <f ca="1">RANDBETWEEN(100,180)/1000</f>
        <v>0.154</v>
      </c>
      <c r="B222" s="2" t="s">
        <v>961</v>
      </c>
      <c r="E222" s="29">
        <f ca="1">A225+A223*A226</f>
        <v>9.2100000000000001E-2</v>
      </c>
      <c r="F222" s="2" t="s">
        <v>2061</v>
      </c>
      <c r="L222" s="6" t="s">
        <v>2516</v>
      </c>
      <c r="M222" s="2" t="str">
        <f ca="1">IF(M226=0,O222,O223)</f>
        <v>Add only A because its beta is larger than Bs beta.</v>
      </c>
      <c r="O222" s="62" t="str">
        <f ca="1">IF(A221&gt;A223,"Add only A because its beta is larger than Bs beta.","Add only B because its beta is larger than As beta.")</f>
        <v>Add only A because its beta is larger than Bs beta.</v>
      </c>
    </row>
    <row r="223" spans="1:15" x14ac:dyDescent="0.35">
      <c r="A223" s="115">
        <f ca="1">RANDBETWEEN(50,150)/100</f>
        <v>0.62</v>
      </c>
      <c r="B223" s="2" t="s">
        <v>962</v>
      </c>
      <c r="M223" s="2" t="str">
        <f ca="1">O224</f>
        <v>Add only stock A since its expected return is the only one to exceed its required return.</v>
      </c>
      <c r="O223" s="62" t="str">
        <f ca="1">IF(A222&gt;A224,"Add only A because its expected return is larger than Bs expected return.","Add only B because its expected return is larger than As expected return.")</f>
        <v>Add only A because its expected return is larger than Bs expected return.</v>
      </c>
    </row>
    <row r="224" spans="1:15" x14ac:dyDescent="0.35">
      <c r="A224" s="19">
        <f ca="1">RANDBETWEEN(100,180)/1000</f>
        <v>0.14299999999999999</v>
      </c>
      <c r="B224" s="2" t="s">
        <v>2057</v>
      </c>
      <c r="E224" s="2" t="s">
        <v>1911</v>
      </c>
      <c r="H224" s="4"/>
      <c r="M224" s="2" t="str">
        <f ca="1">O225</f>
        <v>Add neither, since both have expected returns less than required returns.</v>
      </c>
      <c r="O224" s="62" t="str">
        <f ca="1">IF(AND(A222&gt;=E221,A224&gt;=E222),E225,IF(A222&gt;=E221,E224,IF(A224&gt;=E222,E227, E226)))</f>
        <v>Add only stock A since its expected return is the only one to exceed its required return.</v>
      </c>
    </row>
    <row r="225" spans="1:17" x14ac:dyDescent="0.35">
      <c r="A225" s="7">
        <f ca="1">RANDBETWEEN(45,70)/1000</f>
        <v>5.8000000000000003E-2</v>
      </c>
      <c r="B225" s="2" t="s">
        <v>2058</v>
      </c>
      <c r="E225" s="2" t="s">
        <v>1912</v>
      </c>
      <c r="M225" s="2" t="str">
        <f ca="1">O226</f>
        <v>Add only stock B since its expected return is the only one to exceed its required return.</v>
      </c>
      <c r="O225" s="62" t="str">
        <f ca="1">IF(AND(A222&gt;=E221,A224&gt;=E222),E227,IF(A222&gt;=E221,E226,IF(A224&gt;=E222,E225, E224)))</f>
        <v>Add neither, since both have expected returns less than required returns.</v>
      </c>
    </row>
    <row r="226" spans="1:17" x14ac:dyDescent="0.35">
      <c r="A226" s="7">
        <f ca="1">RANDBETWEEN(55,70)/1000</f>
        <v>5.5E-2</v>
      </c>
      <c r="B226" s="2" t="s">
        <v>1144</v>
      </c>
      <c r="E226" s="2" t="s">
        <v>243</v>
      </c>
      <c r="M226" s="2">
        <f ca="1">(RANDBETWEEN(0,1))</f>
        <v>0</v>
      </c>
      <c r="O226" s="62" t="str">
        <f ca="1">IF(AND(A222&gt;=E221,A224&gt;=E222),E226,IF(A222&gt;=E221,E227,IF(A224&gt;=E222,E224, E225)))</f>
        <v>Add only stock B since its expected return is the only one to exceed its required return.</v>
      </c>
    </row>
    <row r="227" spans="1:17" x14ac:dyDescent="0.35">
      <c r="A227" s="244">
        <f ca="1">A225+A226</f>
        <v>0.113</v>
      </c>
      <c r="B227" s="2" t="s">
        <v>2059</v>
      </c>
      <c r="E227" s="2" t="s">
        <v>2690</v>
      </c>
    </row>
    <row r="229" spans="1:17" ht="16" thickBot="1" x14ac:dyDescent="0.4">
      <c r="B229" s="88" t="s">
        <v>718</v>
      </c>
      <c r="M229" s="2" t="str">
        <f ca="1">IF(M226=0,"expected return on the market portfolio","risk premium for the market portfolio")</f>
        <v>expected return on the market portfolio</v>
      </c>
    </row>
    <row r="230" spans="1:17" ht="16.5" thickTop="1" thickBot="1" x14ac:dyDescent="0.4">
      <c r="B230" s="76" t="str">
        <f ca="1">[1]!std_ans($C$230)</f>
        <v>B</v>
      </c>
      <c r="C230" s="79" t="str">
        <f ca="1" xml:space="preserve"> "/\" &amp;RANDBETWEEN( 1,120) &amp; "/\" &amp; M221 &amp; "/\" &amp; M222 &amp; "/\" &amp; M223 &amp; "/\" &amp; M224 &amp; "/\" &amp; M225</f>
        <v>/\49/\Add either one, since for both the expected returns exceed required returns./\Add only A because its beta is larger than Bs beta./\Add only stock A since its expected return is the only one to exceed its required return./\Add neither, since both have expected returns less than required returns./\Add only stock B since its expected return is the only one to exceed its required return.</v>
      </c>
      <c r="D230" s="253" t="s">
        <v>717</v>
      </c>
      <c r="M230" s="7">
        <f ca="1">IF(M226=0,A227,A226)</f>
        <v>0.113</v>
      </c>
    </row>
    <row r="231" spans="1:17" ht="16" thickTop="1" x14ac:dyDescent="0.35">
      <c r="B231" s="81" t="str">
        <f ca="1">[1]!simpleV_A($C$230)</f>
        <v>Add only stock A since its expected return is the only one to exceed its required return.</v>
      </c>
      <c r="C231" s="82"/>
      <c r="D231" s="77"/>
    </row>
    <row r="232" spans="1:17" x14ac:dyDescent="0.35">
      <c r="B232" s="81" t="str">
        <f ca="1">[1]!simpleV_B($C$230)</f>
        <v>Add either one, since for both the expected returns exceed required returns.</v>
      </c>
      <c r="C232" s="82"/>
      <c r="D232" s="77"/>
    </row>
    <row r="233" spans="1:17" x14ac:dyDescent="0.35">
      <c r="B233" s="81" t="str">
        <f ca="1">[1]!simpleV_C($C$230)</f>
        <v>Add only A because its beta is larger than Bs beta.</v>
      </c>
      <c r="C233" s="82"/>
      <c r="D233" s="77"/>
    </row>
    <row r="234" spans="1:17" x14ac:dyDescent="0.35">
      <c r="B234" s="81" t="str">
        <f ca="1">[1]!simpleV_D($C$230)</f>
        <v>Add neither, since both have expected returns less than required returns.</v>
      </c>
      <c r="C234" s="82"/>
      <c r="D234" s="77"/>
    </row>
    <row r="235" spans="1:17" ht="16" thickBot="1" x14ac:dyDescent="0.4">
      <c r="B235" s="83" t="str">
        <f ca="1">[1]!simpleV_E($C$230)</f>
        <v>Add only stock B since its expected return is the only one to exceed its required return.</v>
      </c>
      <c r="C235" s="84"/>
      <c r="D235" s="78"/>
    </row>
    <row r="236" spans="1:17" ht="16" thickTop="1" x14ac:dyDescent="0.35"/>
    <row r="238" spans="1:17" x14ac:dyDescent="0.35">
      <c r="A238" s="88" t="s">
        <v>719</v>
      </c>
    </row>
    <row r="239" spans="1:17" x14ac:dyDescent="0.35">
      <c r="A239" s="244">
        <f ca="1">RANDBETWEEN(8,12)*5/1000</f>
        <v>5.5E-2</v>
      </c>
      <c r="B239" s="2" t="s">
        <v>1653</v>
      </c>
      <c r="J239" s="407" t="s">
        <v>2957</v>
      </c>
      <c r="K239" s="407"/>
      <c r="L239" s="2">
        <f ca="1">(RANDBETWEEN(0,1))</f>
        <v>0</v>
      </c>
      <c r="M239" s="2">
        <f ca="1">(RANDBETWEEN(0,1))</f>
        <v>1</v>
      </c>
    </row>
    <row r="240" spans="1:17" x14ac:dyDescent="0.35">
      <c r="A240" s="244">
        <f ca="1">ROUND(IF(D240=A241,(IF(RANDBETWEEN(0,1)=0,1/1.2,1.2))*D240,D240),3)</f>
        <v>7.4999999999999997E-2</v>
      </c>
      <c r="B240" s="2" t="s">
        <v>2520</v>
      </c>
      <c r="C240" s="246"/>
      <c r="D240" s="246">
        <f ca="1">RANDBETWEEN(14,20)*5/1000</f>
        <v>7.4999999999999997E-2</v>
      </c>
      <c r="F240" s="244">
        <f ca="1">A239+A240</f>
        <v>0.13</v>
      </c>
      <c r="G240" s="2" t="s">
        <v>2290</v>
      </c>
      <c r="J240" s="7">
        <f ca="1">IF(M239=0,A240,F240)</f>
        <v>0.13</v>
      </c>
      <c r="K240" s="2" t="str">
        <f ca="1">IF(M239=0,B240,G240)</f>
        <v>company's expected return</v>
      </c>
      <c r="P240" s="192">
        <f ca="1">A242</f>
        <v>0.88235294117647045</v>
      </c>
      <c r="Q240" s="133" t="str">
        <f ca="1">IF(AND(0.95&lt;P240,P240&lt;1.05),"#RECALCULATE",IF(P240&lt;1,"a conservative","an aggressive"))</f>
        <v>a conservative</v>
      </c>
    </row>
    <row r="241" spans="1:17" x14ac:dyDescent="0.35">
      <c r="A241" s="244">
        <f ca="1">RANDBETWEEN(14,20)*5/1000</f>
        <v>8.5000000000000006E-2</v>
      </c>
      <c r="B241" s="2" t="s">
        <v>2285</v>
      </c>
      <c r="F241" s="244">
        <f ca="1">A239+A241</f>
        <v>0.14000000000000001</v>
      </c>
      <c r="G241" s="2" t="s">
        <v>2958</v>
      </c>
      <c r="J241" s="7">
        <f ca="1">IF(L239=0,A241,F241)</f>
        <v>8.5000000000000006E-2</v>
      </c>
      <c r="K241" s="2" t="str">
        <f ca="1">IF(L239=0,B241,G241)</f>
        <v>expected risk premium for the market portfolio</v>
      </c>
      <c r="P241" s="192"/>
      <c r="Q241" s="133" t="str">
        <f ca="1">IF(Q240="a conservative","an aggressive","a conservative")</f>
        <v>an aggressive</v>
      </c>
    </row>
    <row r="242" spans="1:17" x14ac:dyDescent="0.35">
      <c r="A242" s="115">
        <f ca="1">A240/A241</f>
        <v>0.88235294117647045</v>
      </c>
      <c r="B242" s="2" t="s">
        <v>2506</v>
      </c>
    </row>
    <row r="244" spans="1:17" ht="17" thickBot="1" x14ac:dyDescent="0.45">
      <c r="B244" s="120" t="s">
        <v>2497</v>
      </c>
      <c r="F244" s="120" t="s">
        <v>572</v>
      </c>
    </row>
    <row r="245" spans="1:17" ht="16.5" thickTop="1" thickBot="1" x14ac:dyDescent="0.4">
      <c r="B245" s="76" t="str">
        <f ca="1">[1]!std_ans($C$245)</f>
        <v>D</v>
      </c>
      <c r="C245" s="79" t="str">
        <f ca="1" xml:space="preserve"> "/\" &amp;RANDBETWEEN( 1,120) &amp; "/\" &amp;RANDBETWEEN( 1,120) &amp; "/\" &amp;0.1 &amp; "/\" &amp; A242</f>
        <v>/\107/\111/\0.1/\0.88235294117647</v>
      </c>
      <c r="D245" s="80" t="s">
        <v>720</v>
      </c>
      <c r="F245" s="76" t="str">
        <f ca="1">[1]!alpha_ans($G$245)</f>
        <v>A</v>
      </c>
      <c r="G245" s="79" t="str">
        <f ca="1" xml:space="preserve"> "/\" &amp;RANDBETWEEN( 1,5) &amp; "/\" &amp;RANDBETWEEN( 1,120) &amp; "/\" &amp;RANDBETWEEN( 1,6) &amp; "/\" &amp;RANDBETWEEN( 1,2) &amp; "/\" &amp; P240 &amp; "/\" &amp; "Mask" &amp; "/\" &amp; "Mask" &amp; "/\" &amp; Q240 &amp; "/\" &amp; Q241</f>
        <v>/\1/\89/\3/\1/\0.88235294117647/\Mask/\Mask/\a conservative/\an aggressive</v>
      </c>
      <c r="H245" s="80" t="s">
        <v>427</v>
      </c>
    </row>
    <row r="246" spans="1:17" ht="16" thickTop="1" x14ac:dyDescent="0.35">
      <c r="B246" s="196">
        <f ca="1">[1]!stdnum_A($C$245)</f>
        <v>0.80213903743315451</v>
      </c>
      <c r="C246" s="82"/>
      <c r="D246" s="77"/>
      <c r="F246" s="254">
        <f ca="1">[1]!onepair_A($G$245)</f>
        <v>0.88235294117647001</v>
      </c>
      <c r="G246" s="82" t="str">
        <f ca="1">[1]!onepair_A2($G$245)</f>
        <v>a conservative</v>
      </c>
      <c r="H246" s="77"/>
    </row>
    <row r="247" spans="1:17" x14ac:dyDescent="0.35">
      <c r="B247" s="196">
        <f ca="1">[1]!stdnum_B($C$245)</f>
        <v>0.72921730675741314</v>
      </c>
      <c r="C247" s="82"/>
      <c r="D247" s="77"/>
      <c r="F247" s="196">
        <f ca="1">[1]!onepair_B($G$245)</f>
        <v>0.76726342710997397</v>
      </c>
      <c r="G247" s="82" t="str">
        <f ca="1">[1]!onepair_B2($G$245)</f>
        <v>an aggressive</v>
      </c>
      <c r="H247" s="77"/>
    </row>
    <row r="248" spans="1:17" x14ac:dyDescent="0.35">
      <c r="B248" s="196">
        <f ca="1">[1]!stdnum_C($C$245)</f>
        <v>0.60265893120447356</v>
      </c>
      <c r="C248" s="82"/>
      <c r="D248" s="77"/>
      <c r="F248" s="196">
        <f ca="1">[1]!onepair_C($G$245)</f>
        <v>1.01470588235294</v>
      </c>
      <c r="G248" s="82" t="str">
        <f ca="1">[1]!onepair_C2($G$245)</f>
        <v>an aggressive</v>
      </c>
      <c r="H248" s="77"/>
    </row>
    <row r="249" spans="1:17" x14ac:dyDescent="0.35">
      <c r="B249" s="196">
        <f ca="1">[1]!stdnum_D($C$245)</f>
        <v>0.88235294117647001</v>
      </c>
      <c r="C249" s="82"/>
      <c r="D249" s="77"/>
      <c r="F249" s="196">
        <f ca="1">[1]!onepair_D($G$245)</f>
        <v>0.88235294117647001</v>
      </c>
      <c r="G249" s="82" t="str">
        <f ca="1">[1]!onepair_D2($G$245)</f>
        <v>an aggressive</v>
      </c>
      <c r="H249" s="77"/>
    </row>
    <row r="250" spans="1:17" ht="16" thickBot="1" x14ac:dyDescent="0.4">
      <c r="B250" s="219">
        <f ca="1">[1]!stdnum_E($C$245)</f>
        <v>0.66292482432492095</v>
      </c>
      <c r="C250" s="84"/>
      <c r="D250" s="78"/>
      <c r="F250" s="219">
        <f ca="1">[1]!onepair_E($G$245)</f>
        <v>0.76726342710997397</v>
      </c>
      <c r="G250" s="84" t="str">
        <f ca="1">[1]!onepair_E2($G$245)</f>
        <v>a conservative</v>
      </c>
      <c r="H250" s="78"/>
    </row>
    <row r="251" spans="1:17" ht="16" thickTop="1" x14ac:dyDescent="0.35"/>
    <row r="253" spans="1:17" x14ac:dyDescent="0.35">
      <c r="A253" s="88" t="s">
        <v>429</v>
      </c>
    </row>
    <row r="254" spans="1:17" x14ac:dyDescent="0.35">
      <c r="A254" s="4"/>
      <c r="B254" s="4" t="s">
        <v>3425</v>
      </c>
      <c r="C254" s="4" t="s">
        <v>3426</v>
      </c>
      <c r="D254" s="4" t="s">
        <v>3427</v>
      </c>
      <c r="E254" s="4" t="s">
        <v>3428</v>
      </c>
      <c r="F254" s="4" t="s">
        <v>3429</v>
      </c>
    </row>
    <row r="255" spans="1:17" x14ac:dyDescent="0.35">
      <c r="A255" s="4" t="s">
        <v>3497</v>
      </c>
      <c r="B255" s="23">
        <f ca="1">RANDBETWEEN(16,24)/100</f>
        <v>0.19</v>
      </c>
      <c r="C255" s="23">
        <f ca="1">RANDBETWEEN(1,19)/100</f>
        <v>0.19</v>
      </c>
      <c r="D255" s="23">
        <f ca="1">RANDBETWEEN(-18,-6)/100</f>
        <v>-0.06</v>
      </c>
      <c r="E255" s="23">
        <f ca="1">RANDBETWEEN(8,15)/100</f>
        <v>0.09</v>
      </c>
      <c r="F255" s="23">
        <f ca="1">RANDBETWEEN(6,16)/100</f>
        <v>0.15</v>
      </c>
    </row>
    <row r="256" spans="1:17" x14ac:dyDescent="0.35">
      <c r="A256" s="4" t="s">
        <v>702</v>
      </c>
      <c r="B256" s="23">
        <f ca="1">RANDBETWEEN(15,20)/100</f>
        <v>0.19</v>
      </c>
      <c r="C256" s="23">
        <f ca="1">RANDBETWEEN(10,15)/100</f>
        <v>0.12</v>
      </c>
      <c r="D256" s="23">
        <f ca="1">RANDBETWEEN(-10,-5)/100</f>
        <v>-0.06</v>
      </c>
      <c r="E256" s="23">
        <f ca="1">RANDBETWEEN(15,20)/100</f>
        <v>0.17</v>
      </c>
      <c r="F256" s="23">
        <f ca="1">RANDBETWEEN(7,12)/100</f>
        <v>0.09</v>
      </c>
      <c r="I256" s="192">
        <f ca="1">A261</f>
        <v>0.87461617195496411</v>
      </c>
      <c r="J256" s="133" t="str">
        <f ca="1">IF(AND(0.97&lt;I256,I256&lt;1.03),"#RECALCULATE",IF(I256&lt;1,"a conservative","an aggressive"))</f>
        <v>a conservative</v>
      </c>
    </row>
    <row r="257" spans="1:10" x14ac:dyDescent="0.35">
      <c r="A257" s="16"/>
      <c r="B257" s="16"/>
      <c r="C257" s="16"/>
      <c r="D257" s="16"/>
      <c r="E257" s="16"/>
      <c r="F257" s="16"/>
      <c r="G257" s="16"/>
      <c r="H257" s="16"/>
      <c r="I257" s="192"/>
      <c r="J257" s="133" t="str">
        <f ca="1">IF(J256="a conservative","an aggressive","a conservative")</f>
        <v>an aggressive</v>
      </c>
    </row>
    <row r="258" spans="1:10" x14ac:dyDescent="0.35">
      <c r="A258" s="255">
        <f ca="1">VARP(B255:F255)</f>
        <v>8.735999999999999E-3</v>
      </c>
      <c r="B258" s="2" t="s">
        <v>498</v>
      </c>
      <c r="C258" s="16"/>
      <c r="D258" s="16"/>
      <c r="E258" s="16"/>
      <c r="F258" s="34">
        <f ca="1">(IF(RANDBETWEEN(0,1)=0,1,-1))*RANDBETWEEN(5,20)/100</f>
        <v>-0.08</v>
      </c>
      <c r="G258" s="2" t="s">
        <v>3690</v>
      </c>
    </row>
    <row r="259" spans="1:10" x14ac:dyDescent="0.35">
      <c r="A259" s="255">
        <f ca="1">VARP(B256:F256)</f>
        <v>7.816E-3</v>
      </c>
      <c r="B259" s="2" t="s">
        <v>677</v>
      </c>
      <c r="C259" s="16"/>
      <c r="D259" s="16"/>
      <c r="E259" s="16"/>
      <c r="F259" s="34">
        <f ca="1">RANDBETWEEN(3,5)/100</f>
        <v>0.05</v>
      </c>
      <c r="G259" s="2" t="s">
        <v>712</v>
      </c>
    </row>
    <row r="260" spans="1:10" x14ac:dyDescent="0.35">
      <c r="A260" s="255">
        <f ca="1">COVAR(B255:F255,B256:F256)</f>
        <v>6.8359999999999992E-3</v>
      </c>
      <c r="B260" s="2" t="s">
        <v>3824</v>
      </c>
      <c r="C260" s="16"/>
      <c r="D260" s="16"/>
      <c r="E260" s="16"/>
      <c r="F260" s="9">
        <f ca="1">F259+A261*(F258-F259)</f>
        <v>-6.3700102354145333E-2</v>
      </c>
      <c r="G260" s="2" t="s">
        <v>3689</v>
      </c>
    </row>
    <row r="261" spans="1:10" x14ac:dyDescent="0.35">
      <c r="A261" s="114">
        <f ca="1">A260/A259</f>
        <v>0.87461617195496411</v>
      </c>
      <c r="B261" s="2" t="s">
        <v>3825</v>
      </c>
      <c r="C261" s="16"/>
      <c r="D261" s="16"/>
      <c r="E261" s="16"/>
    </row>
    <row r="262" spans="1:10" x14ac:dyDescent="0.35">
      <c r="A262" s="16"/>
      <c r="B262" s="16"/>
      <c r="C262" s="16"/>
      <c r="D262" s="16"/>
      <c r="E262" s="16"/>
    </row>
    <row r="263" spans="1:10" ht="16" thickBot="1" x14ac:dyDescent="0.4">
      <c r="B263" s="120" t="s">
        <v>428</v>
      </c>
      <c r="F263" s="88" t="s">
        <v>2495</v>
      </c>
    </row>
    <row r="264" spans="1:10" ht="16.5" thickTop="1" thickBot="1" x14ac:dyDescent="0.4">
      <c r="B264" s="76" t="str">
        <f ca="1">[1]!std_ans($C$264)</f>
        <v>D</v>
      </c>
      <c r="C264" s="79" t="str">
        <f ca="1" xml:space="preserve"> "/\" &amp;RANDBETWEEN( 1,120) &amp; "/\" &amp;RANDBETWEEN( 1,120) &amp; "/\" &amp;0.1 &amp; "/\" &amp; A261</f>
        <v>/\69/\61/\0.1/\0.874616171954964</v>
      </c>
      <c r="D264" s="80" t="s">
        <v>430</v>
      </c>
      <c r="F264" s="76" t="str">
        <f ca="1">[1]!alpha_ans($G$264)</f>
        <v>B</v>
      </c>
      <c r="G264" s="79" t="str">
        <f ca="1" xml:space="preserve"> "/\" &amp;RANDBETWEEN( 1,5) &amp; "/\" &amp;RANDBETWEEN( 1,120) &amp; "/\" &amp;RANDBETWEEN( 1,6) &amp; "/\" &amp;RANDBETWEEN( 1,2) &amp; "/\" &amp; I256 &amp; "/\" &amp; "Mask" &amp; "/\" &amp; "Mask" &amp; "/\" &amp; J256 &amp; "/\" &amp; J257</f>
        <v>/\2/\113/\2/\2/\0.874616171954964/\Mask/\Mask/\a conservative/\an aggressive</v>
      </c>
      <c r="H264" s="80" t="s">
        <v>2496</v>
      </c>
    </row>
    <row r="265" spans="1:10" ht="16" thickTop="1" x14ac:dyDescent="0.35">
      <c r="B265" s="196">
        <f ca="1">[1]!stdnum_A($C$264)</f>
        <v>0.72282328260740814</v>
      </c>
      <c r="C265" s="82"/>
      <c r="D265" s="77"/>
      <c r="F265" s="196">
        <f ca="1">[1]!onepair_A($G$264)</f>
        <v>1.0058085977482101</v>
      </c>
      <c r="G265" s="82" t="str">
        <f ca="1">[1]!onepair_A2($G$264)</f>
        <v>an aggressive</v>
      </c>
      <c r="H265" s="77"/>
    </row>
    <row r="266" spans="1:10" x14ac:dyDescent="0.35">
      <c r="B266" s="196">
        <f ca="1">[1]!stdnum_B($C$264)</f>
        <v>1.0582855680655066</v>
      </c>
      <c r="C266" s="82"/>
      <c r="D266" s="77"/>
      <c r="F266" s="196">
        <f ca="1">[1]!onepair_B($G$264)</f>
        <v>0.87461617195496399</v>
      </c>
      <c r="G266" s="82" t="str">
        <f ca="1">[1]!onepair_B2($G$264)</f>
        <v>a conservative</v>
      </c>
      <c r="H266" s="77"/>
    </row>
    <row r="267" spans="1:10" x14ac:dyDescent="0.35">
      <c r="B267" s="196">
        <f ca="1">[1]!stdnum_C($C$264)</f>
        <v>0.96207778915046049</v>
      </c>
      <c r="C267" s="82"/>
      <c r="D267" s="77"/>
      <c r="F267" s="196">
        <f ca="1">[1]!onepair_C($G$264)</f>
        <v>1.0058085977482101</v>
      </c>
      <c r="G267" s="82" t="str">
        <f ca="1">[1]!onepair_C2($G$264)</f>
        <v>a conservative</v>
      </c>
      <c r="H267" s="77"/>
    </row>
    <row r="268" spans="1:10" x14ac:dyDescent="0.35">
      <c r="B268" s="196">
        <f ca="1">[1]!stdnum_D($C$264)</f>
        <v>0.87461617195496399</v>
      </c>
      <c r="C268" s="82"/>
      <c r="D268" s="77"/>
      <c r="F268" s="196">
        <f ca="1">[1]!onepair_D($G$264)</f>
        <v>0.87461617195496399</v>
      </c>
      <c r="G268" s="82" t="str">
        <f ca="1">[1]!onepair_D2($G$264)</f>
        <v>an aggressive</v>
      </c>
      <c r="H268" s="77"/>
    </row>
    <row r="269" spans="1:10" ht="16" thickBot="1" x14ac:dyDescent="0.4">
      <c r="B269" s="219">
        <f ca="1">[1]!stdnum_E($C$264)</f>
        <v>0.79510561086814902</v>
      </c>
      <c r="C269" s="84"/>
      <c r="D269" s="78"/>
      <c r="F269" s="219">
        <f ca="1">[1]!onepair_E($G$264)</f>
        <v>1.15667988741044</v>
      </c>
      <c r="G269" s="84" t="str">
        <f ca="1">[1]!onepair_E2($G$264)</f>
        <v>a conservative</v>
      </c>
      <c r="H269" s="78"/>
    </row>
    <row r="270" spans="1:10" ht="16" thickTop="1" x14ac:dyDescent="0.35"/>
    <row r="272" spans="1:10" x14ac:dyDescent="0.35">
      <c r="A272" s="88" t="s">
        <v>574</v>
      </c>
    </row>
    <row r="273" spans="1:20" x14ac:dyDescent="0.35">
      <c r="A273" s="4"/>
      <c r="B273" s="4" t="s">
        <v>3425</v>
      </c>
      <c r="C273" s="4" t="s">
        <v>3426</v>
      </c>
      <c r="D273" s="4" t="s">
        <v>3427</v>
      </c>
      <c r="E273" s="4" t="s">
        <v>3428</v>
      </c>
      <c r="F273" s="4" t="s">
        <v>3429</v>
      </c>
    </row>
    <row r="274" spans="1:20" x14ac:dyDescent="0.35">
      <c r="A274" s="4" t="s">
        <v>3497</v>
      </c>
      <c r="B274" s="23">
        <f ca="1">RANDBETWEEN(15,20)/100</f>
        <v>0.18</v>
      </c>
      <c r="C274" s="23">
        <f ca="1">RANDBETWEEN(10,15)/100</f>
        <v>0.1</v>
      </c>
      <c r="D274" s="23">
        <f ca="1">RANDBETWEEN(-3,3)/100</f>
        <v>0.01</v>
      </c>
      <c r="E274" s="23">
        <f ca="1">RANDBETWEEN(15,20)/100</f>
        <v>0.17</v>
      </c>
      <c r="F274" s="23">
        <f ca="1">RANDBETWEEN(7,12)/100</f>
        <v>0.1</v>
      </c>
    </row>
    <row r="275" spans="1:20" x14ac:dyDescent="0.35">
      <c r="A275" s="4" t="s">
        <v>702</v>
      </c>
      <c r="B275" s="23">
        <f ca="1">RANDBETWEEN(15,20)/100</f>
        <v>0.18</v>
      </c>
      <c r="C275" s="23">
        <f ca="1">RANDBETWEEN(10,15)/100</f>
        <v>0.15</v>
      </c>
      <c r="D275" s="23">
        <f ca="1">RANDBETWEEN(-10,-5)/100</f>
        <v>-7.0000000000000007E-2</v>
      </c>
      <c r="E275" s="23">
        <f ca="1">RANDBETWEEN(15,20)/100</f>
        <v>0.2</v>
      </c>
      <c r="F275" s="23">
        <f ca="1">RANDBETWEEN(7,12)/100</f>
        <v>0.09</v>
      </c>
    </row>
    <row r="276" spans="1:20" x14ac:dyDescent="0.35">
      <c r="A276" s="16"/>
      <c r="B276" s="16"/>
      <c r="C276" s="16"/>
      <c r="D276" s="16"/>
      <c r="E276" s="16"/>
      <c r="F276" s="16"/>
      <c r="G276" s="16"/>
      <c r="H276" s="16"/>
    </row>
    <row r="277" spans="1:20" x14ac:dyDescent="0.35">
      <c r="A277" s="12">
        <f ca="1">IF(D277&lt;&gt;F279,D277,D277+RANDBETWEEN(3,10)*sign5/100)</f>
        <v>0.18</v>
      </c>
      <c r="B277" s="2" t="s">
        <v>2124</v>
      </c>
      <c r="D277" s="62">
        <f ca="1">sign2*RANDBETWEEN(5,20)/100</f>
        <v>0.18</v>
      </c>
      <c r="F277" s="15">
        <f ca="1">A279+A280*F279</f>
        <v>0.14756962025316459</v>
      </c>
      <c r="G277" s="2" t="s">
        <v>2123</v>
      </c>
      <c r="J277" s="192">
        <f ca="1">A280</f>
        <v>0.59282700421940937</v>
      </c>
      <c r="K277" s="133" t="str">
        <f ca="1">IF(AND(0.95&lt;J277,J277&lt;1.05),"#RECALCULATE",IF(J277&lt;1,"a conservative","an aggressive"))</f>
        <v>a conservative</v>
      </c>
    </row>
    <row r="278" spans="1:20" x14ac:dyDescent="0.35">
      <c r="A278" s="12">
        <f ca="1">IF(D278&lt;&gt;F279,D278,D278+RANDBETWEEN(3,10)*sign5/100)</f>
        <v>0.06</v>
      </c>
      <c r="B278" s="2" t="s">
        <v>2125</v>
      </c>
      <c r="D278" s="62">
        <f ca="1">sign2*RANDBETWEEN(5,20)/100</f>
        <v>0.06</v>
      </c>
      <c r="F278" s="256" t="str">
        <f ca="1">IF(A278&gt;0,"Company management", "Dissident shareholders")</f>
        <v>Company management</v>
      </c>
      <c r="G278" s="2" t="s">
        <v>2119</v>
      </c>
      <c r="J278" s="192"/>
      <c r="K278" s="133" t="str">
        <f ca="1">IF(K277="a conservative","an aggressive","a conservative")</f>
        <v>an aggressive</v>
      </c>
    </row>
    <row r="279" spans="1:20" x14ac:dyDescent="0.35">
      <c r="A279" s="255">
        <f ca="1">INTERCEPT(B274:F274,B275:F275)</f>
        <v>4.6789029535864987E-2</v>
      </c>
      <c r="B279" s="2" t="s">
        <v>2121</v>
      </c>
      <c r="F279" s="34">
        <f ca="1">RANDBETWEEN(5,20)/100</f>
        <v>0.17</v>
      </c>
      <c r="G279" s="2" t="s">
        <v>2120</v>
      </c>
    </row>
    <row r="280" spans="1:20" x14ac:dyDescent="0.35">
      <c r="A280" s="114">
        <f ca="1">SLOPE(B274:F274,B275:F275)</f>
        <v>0.59282700421940937</v>
      </c>
      <c r="B280" s="2" t="s">
        <v>2122</v>
      </c>
      <c r="F280" s="15">
        <f ca="1">IF(ABS(A278+F277)&gt;0.03,A278+F277,"#RECALCULATE")</f>
        <v>0.20756962025316458</v>
      </c>
      <c r="G280" s="2" t="s">
        <v>2126</v>
      </c>
    </row>
    <row r="281" spans="1:20" x14ac:dyDescent="0.35">
      <c r="F281" s="15">
        <f ca="1">IF(ABS(A277-F277)&gt;0.03,A277-F277,"#RECALCULATE")</f>
        <v>3.2430379746835408E-2</v>
      </c>
      <c r="G281" s="2" t="s">
        <v>2127</v>
      </c>
      <c r="L281" s="387"/>
    </row>
    <row r="282" spans="1:20" x14ac:dyDescent="0.35">
      <c r="F282" s="9"/>
    </row>
    <row r="284" spans="1:20" ht="16" thickBot="1" x14ac:dyDescent="0.4">
      <c r="B284" s="120" t="s">
        <v>573</v>
      </c>
      <c r="F284" s="120" t="s">
        <v>137</v>
      </c>
      <c r="J284" s="120" t="s">
        <v>2128</v>
      </c>
      <c r="N284" s="120" t="s">
        <v>2129</v>
      </c>
      <c r="R284" s="120" t="s">
        <v>2184</v>
      </c>
    </row>
    <row r="285" spans="1:20" ht="16.5" thickTop="1" thickBot="1" x14ac:dyDescent="0.4">
      <c r="B285" s="76" t="str">
        <f ca="1">[1]!std_ans($C$285)</f>
        <v>C</v>
      </c>
      <c r="C285" s="79" t="str">
        <f ca="1" xml:space="preserve"> "/\" &amp;RANDBETWEEN( 1,120) &amp; "/\" &amp;RANDBETWEEN( 1,120) &amp; "/\" &amp;0.1 &amp; "/\" &amp; A280</f>
        <v>/\109/\37/\0.1/\0.592827004219409</v>
      </c>
      <c r="D285" s="80" t="s">
        <v>575</v>
      </c>
      <c r="F285" s="76" t="str">
        <f ca="1">[1]!alpha_ans($G$285)</f>
        <v>D</v>
      </c>
      <c r="G285" s="79" t="str">
        <f ca="1" xml:space="preserve"> "/\" &amp;RANDBETWEEN( 1,5) &amp; "/\" &amp;RANDBETWEEN( 1,120) &amp; "/\" &amp;RANDBETWEEN( 1,6) &amp; "/\" &amp;RANDBETWEEN( 1,2) &amp; "/\" &amp; J277 &amp; "/\" &amp; "Mask" &amp; "/\" &amp; "Mask" &amp; "/\" &amp; K277 &amp; "/\" &amp; K278</f>
        <v>/\4/\113/\5/\1/\0.592827004219409/\Mask/\Mask/\a conservative/\an aggressive</v>
      </c>
      <c r="H285" s="80" t="s">
        <v>138</v>
      </c>
      <c r="J285" s="76" t="str">
        <f ca="1">[1]!std_ans($K$285)</f>
        <v>C</v>
      </c>
      <c r="K285" s="79" t="str">
        <f ca="1" xml:space="preserve"> "/\" &amp;RANDBETWEEN( 1,120) &amp; "/\" &amp;RANDBETWEEN( 1,120) &amp; "/\" &amp;0.1 &amp; "/\" &amp; F277</f>
        <v>/\62/\24/\0.1/\0.147569620253165</v>
      </c>
      <c r="L285" s="80" t="s">
        <v>139</v>
      </c>
      <c r="N285" s="76" t="str">
        <f ca="1">[1]!std_ans($O$285)</f>
        <v>A</v>
      </c>
      <c r="O285" s="79" t="str">
        <f ca="1" xml:space="preserve"> "/\" &amp;RANDBETWEEN( 1,120) &amp; "/\" &amp;RANDBETWEEN( 1,120) &amp; "/\" &amp;0.1 &amp; "/\" &amp; F281</f>
        <v>/\12/\108/\0.1/\0.0324303797468354</v>
      </c>
      <c r="P285" s="80" t="s">
        <v>500</v>
      </c>
      <c r="R285" s="76" t="str">
        <f ca="1">[1]!std_ans($S$285)</f>
        <v>D</v>
      </c>
      <c r="S285" s="79" t="str">
        <f ca="1" xml:space="preserve"> "/\" &amp;RANDBETWEEN( 1,120) &amp; "/\" &amp;RANDBETWEEN( 1,120) &amp; "/\" &amp;0.1 &amp; "/\" &amp; F280</f>
        <v>/\93/\74/\0.1/\0.207569620253165</v>
      </c>
      <c r="T285" s="80" t="s">
        <v>2130</v>
      </c>
    </row>
    <row r="286" spans="1:20" ht="16" thickTop="1" x14ac:dyDescent="0.35">
      <c r="B286" s="116">
        <f ca="1">[1]!stdnum_A($C$285)</f>
        <v>0.78905274261603364</v>
      </c>
      <c r="C286" s="82"/>
      <c r="D286" s="77"/>
      <c r="F286" s="116">
        <f ca="1">[1]!onepair_A($G$285)</f>
        <v>0.51550174279948602</v>
      </c>
      <c r="G286" s="82" t="str">
        <f ca="1">[1]!onepair_A2($G$285)</f>
        <v>an aggressive</v>
      </c>
      <c r="H286" s="77"/>
      <c r="J286" s="92">
        <f ca="1">[1]!stdnum_A($K$285)</f>
        <v>0.19641516455696267</v>
      </c>
      <c r="K286" s="82"/>
      <c r="L286" s="77"/>
      <c r="N286" s="92">
        <f ca="1">[1]!stdnum_A($O$285)</f>
        <v>3.2430379746835401E-2</v>
      </c>
      <c r="O286" s="82"/>
      <c r="P286" s="77"/>
      <c r="R286" s="92">
        <f ca="1">[1]!stdnum_A($S$285)</f>
        <v>0.22832658227848152</v>
      </c>
      <c r="S286" s="82"/>
      <c r="T286" s="77"/>
    </row>
    <row r="287" spans="1:20" x14ac:dyDescent="0.35">
      <c r="B287" s="116">
        <f ca="1">[1]!stdnum_B($C$285)</f>
        <v>0.53893364019946277</v>
      </c>
      <c r="C287" s="82"/>
      <c r="D287" s="77"/>
      <c r="F287" s="116">
        <f ca="1">[1]!onepair_B($G$285)</f>
        <v>0.44826238504303101</v>
      </c>
      <c r="G287" s="82" t="str">
        <f ca="1">[1]!onepair_B2($G$285)</f>
        <v>an aggressive</v>
      </c>
      <c r="H287" s="77"/>
      <c r="J287" s="92">
        <f ca="1">[1]!stdnum_B($K$285)</f>
        <v>0.17855924050632968</v>
      </c>
      <c r="K287" s="82"/>
      <c r="L287" s="77"/>
      <c r="N287" s="92">
        <f ca="1">[1]!stdnum_B($O$285)</f>
        <v>2.9482163406213999E-2</v>
      </c>
      <c r="O287" s="82"/>
      <c r="P287" s="77"/>
      <c r="R287" s="92">
        <f ca="1">[1]!stdnum_B($S$285)</f>
        <v>0.18869965477560455</v>
      </c>
      <c r="S287" s="82"/>
      <c r="T287" s="77"/>
    </row>
    <row r="288" spans="1:20" x14ac:dyDescent="0.35">
      <c r="B288" s="116">
        <f ca="1">[1]!stdnum_C($C$285)</f>
        <v>0.59282700421940904</v>
      </c>
      <c r="C288" s="82"/>
      <c r="D288" s="77"/>
      <c r="F288" s="116">
        <f ca="1">[1]!onepair_C($G$285)</f>
        <v>0.51550174279948602</v>
      </c>
      <c r="G288" s="82" t="str">
        <f ca="1">[1]!onepair_C2($G$285)</f>
        <v>a conservative</v>
      </c>
      <c r="H288" s="77"/>
      <c r="J288" s="92">
        <f ca="1">[1]!stdnum_C($K$285)</f>
        <v>0.147569620253165</v>
      </c>
      <c r="K288" s="82"/>
      <c r="L288" s="77"/>
      <c r="N288" s="92">
        <f ca="1">[1]!stdnum_C($O$285)</f>
        <v>2.2150385729687447E-2</v>
      </c>
      <c r="O288" s="82"/>
      <c r="P288" s="77"/>
      <c r="R288" s="92">
        <f ca="1">[1]!stdnum_C($S$285)</f>
        <v>0.15595012791372273</v>
      </c>
      <c r="S288" s="82"/>
      <c r="T288" s="77"/>
    </row>
    <row r="289" spans="1:20" x14ac:dyDescent="0.35">
      <c r="B289" s="116">
        <f ca="1">[1]!stdnum_D($C$285)</f>
        <v>0.71732067510548503</v>
      </c>
      <c r="C289" s="82"/>
      <c r="D289" s="77"/>
      <c r="F289" s="116">
        <f ca="1">[1]!onepair_D($G$285)</f>
        <v>0.59282700421940904</v>
      </c>
      <c r="G289" s="82" t="str">
        <f ca="1">[1]!onepair_D2($G$285)</f>
        <v>a conservative</v>
      </c>
      <c r="H289" s="77"/>
      <c r="J289" s="92">
        <f ca="1">[1]!stdnum_D($K$285)</f>
        <v>0.16232658227848151</v>
      </c>
      <c r="K289" s="82"/>
      <c r="L289" s="77"/>
      <c r="N289" s="92">
        <f ca="1">[1]!stdnum_D($O$285)</f>
        <v>2.6801966732921817E-2</v>
      </c>
      <c r="O289" s="82"/>
      <c r="P289" s="77"/>
      <c r="R289" s="92">
        <f ca="1">[1]!stdnum_D($S$285)</f>
        <v>0.207569620253165</v>
      </c>
      <c r="S289" s="82"/>
      <c r="T289" s="77"/>
    </row>
    <row r="290" spans="1:20" ht="16" thickBot="1" x14ac:dyDescent="0.4">
      <c r="B290" s="118">
        <f ca="1">[1]!stdnum_E($C$285)</f>
        <v>0.65210970464134999</v>
      </c>
      <c r="C290" s="84"/>
      <c r="D290" s="78"/>
      <c r="F290" s="118">
        <f ca="1">[1]!onepair_E($G$285)</f>
        <v>0.44826238504303101</v>
      </c>
      <c r="G290" s="84" t="str">
        <f ca="1">[1]!onepair_E2($G$285)</f>
        <v>a conservative</v>
      </c>
      <c r="H290" s="78"/>
      <c r="J290" s="93">
        <f ca="1">[1]!stdnum_E($K$285)</f>
        <v>0.21605668101265893</v>
      </c>
      <c r="K290" s="84"/>
      <c r="L290" s="78"/>
      <c r="N290" s="93">
        <f ca="1">[1]!stdnum_E($O$285)</f>
        <v>2.4365424302656192E-2</v>
      </c>
      <c r="O290" s="84"/>
      <c r="P290" s="78"/>
      <c r="R290" s="93">
        <f ca="1">[1]!stdnum_E($S$285)</f>
        <v>0.17154514070509502</v>
      </c>
      <c r="S290" s="84"/>
      <c r="T290" s="78"/>
    </row>
    <row r="291" spans="1:20" ht="16" thickTop="1" x14ac:dyDescent="0.35"/>
    <row r="293" spans="1:20" x14ac:dyDescent="0.35">
      <c r="A293" s="88" t="s">
        <v>504</v>
      </c>
    </row>
    <row r="294" spans="1:20" x14ac:dyDescent="0.35">
      <c r="A294" s="244">
        <f ca="1">RANDBETWEEN(7,12)*5/1000</f>
        <v>4.4999999999999998E-2</v>
      </c>
      <c r="B294" s="2" t="s">
        <v>1653</v>
      </c>
      <c r="E294" s="244">
        <f ca="1">A294+A296*A295</f>
        <v>0.10800000000000001</v>
      </c>
      <c r="F294" s="2" t="s">
        <v>2966</v>
      </c>
      <c r="I294" s="6" t="str">
        <f ca="1">IF(I297=0,"required return","expected return")</f>
        <v>expected return</v>
      </c>
      <c r="J294" s="2" t="s">
        <v>1748</v>
      </c>
    </row>
    <row r="295" spans="1:20" x14ac:dyDescent="0.35">
      <c r="A295" s="244">
        <f ca="1">RANDBETWEEN(14,20)*5/1000</f>
        <v>7.0000000000000007E-2</v>
      </c>
      <c r="B295" s="2" t="s">
        <v>1144</v>
      </c>
      <c r="E295" s="244">
        <f ca="1">ROUND((IF(RANDBETWEEN(0,1)=0,1/1.2,1.2))*E294,3)</f>
        <v>0.13</v>
      </c>
      <c r="F295" s="2" t="s">
        <v>2002</v>
      </c>
      <c r="I295" s="243">
        <f ca="1">IF(I297=0,E294,E295)</f>
        <v>0.13</v>
      </c>
      <c r="J295" s="2" t="s">
        <v>501</v>
      </c>
      <c r="K295" s="2" t="s">
        <v>502</v>
      </c>
    </row>
    <row r="296" spans="1:20" x14ac:dyDescent="0.35">
      <c r="A296" s="115">
        <f ca="1">RANDBETWEEN(14,30)*5/100</f>
        <v>0.9</v>
      </c>
      <c r="B296" s="2" t="s">
        <v>2506</v>
      </c>
      <c r="E296" s="26">
        <f ca="1">A298*(1+A297)/(E295-A297)</f>
        <v>29.619607843137253</v>
      </c>
      <c r="F296" s="2" t="s">
        <v>1328</v>
      </c>
      <c r="H296" s="231"/>
      <c r="I296" s="242"/>
      <c r="J296" s="243" t="str">
        <f ca="1">IF(E294&lt;E295,"buy","do not buy")</f>
        <v>buy</v>
      </c>
      <c r="K296" s="2" t="str">
        <f ca="1">ROUND(E295*100,1)&amp;IF(E294&lt;E295,"% so buy","% so do not buy")</f>
        <v>13% so buy</v>
      </c>
    </row>
    <row r="297" spans="1:20" x14ac:dyDescent="0.35">
      <c r="A297" s="244">
        <f ca="1">ROUND(E295*RANDBETWEEN(50,80)/100,3)</f>
        <v>7.9000000000000001E-2</v>
      </c>
      <c r="B297" s="2" t="s">
        <v>3047</v>
      </c>
      <c r="E297" s="26"/>
      <c r="I297" s="2">
        <f ca="1">(RANDBETWEEN(0,1))</f>
        <v>1</v>
      </c>
      <c r="J297" s="242" t="str">
        <f ca="1">IF(J296="buy","do not buy","buy")</f>
        <v>do not buy</v>
      </c>
      <c r="K297" s="2" t="str">
        <f ca="1">ROUND((IF(RANDBETWEEN(0,1)=0,1/1.3,1.3))*E295*100,1) &amp; CHOOSE(RANDBETWEEN(1,2),"% so buy","% so do not buy")</f>
        <v>10% so do not buy</v>
      </c>
    </row>
    <row r="298" spans="1:20" x14ac:dyDescent="0.35">
      <c r="A298" s="26">
        <f ca="1">RANDBETWEEN(14,36)*5/100</f>
        <v>1.4</v>
      </c>
      <c r="B298" s="2" t="s">
        <v>2965</v>
      </c>
      <c r="E298" s="7"/>
    </row>
    <row r="300" spans="1:20" ht="16" thickBot="1" x14ac:dyDescent="0.4">
      <c r="A300" s="16"/>
      <c r="B300" s="88" t="s">
        <v>503</v>
      </c>
      <c r="C300" s="148"/>
      <c r="F300" s="120" t="s">
        <v>931</v>
      </c>
    </row>
    <row r="301" spans="1:20" ht="16.5" thickTop="1" thickBot="1" x14ac:dyDescent="0.4">
      <c r="B301" s="76" t="str">
        <f ca="1">[1]!alpha_ans($C$301)</f>
        <v>D</v>
      </c>
      <c r="C301" s="79" t="str">
        <f ca="1" xml:space="preserve"> "/\" &amp;RANDBETWEEN( 1,5) &amp; "/\" &amp;RANDBETWEEN( 1,120) &amp; "/\" &amp;RANDBETWEEN( 1,6) &amp; "/\" &amp;RANDBETWEEN( 1,2) &amp; "/\" &amp; I295 &amp; "/\" &amp; "Mask" &amp; "/\" &amp; "Mask" &amp; "/\" &amp; J296 &amp; "/\" &amp; J297</f>
        <v>/\4/\95/\3/\1/\0.13/\Mask/\Mask/\buy/\do not buy</v>
      </c>
      <c r="D301" s="80" t="s">
        <v>505</v>
      </c>
      <c r="E301" s="17"/>
      <c r="F301" s="76" t="str">
        <f ca="1">[1]!alpha_ans($G$301)</f>
        <v>C</v>
      </c>
      <c r="G301" s="79" t="str">
        <f ca="1" xml:space="preserve"> "/\" &amp;RANDBETWEEN( 1,5) &amp; "/\" &amp;RANDBETWEEN( 1,120) &amp; "/\" &amp;RANDBETWEEN( 1,6) &amp; "/\" &amp;RANDBETWEEN( 1,2) &amp; "/\" &amp; E294 &amp; "/\" &amp; "Mask" &amp; "/\" &amp; "Mask" &amp; "/\" &amp; K296 &amp; "/\" &amp; K297</f>
        <v>/\3/\87/\5/\2/\0.108/\Mask/\Mask/\13% so buy/\10% so do not buy</v>
      </c>
      <c r="H301" s="80" t="s">
        <v>932</v>
      </c>
      <c r="I301" s="258"/>
      <c r="J301" s="258"/>
      <c r="K301" s="258"/>
    </row>
    <row r="302" spans="1:20" ht="16" thickTop="1" x14ac:dyDescent="0.35">
      <c r="B302" s="92">
        <f ca="1">[1]!onepair_A($C$301)</f>
        <v>0.14949999999999999</v>
      </c>
      <c r="C302" s="82" t="str">
        <f ca="1">[1]!onepair_A2($C$301)</f>
        <v>buy</v>
      </c>
      <c r="D302" s="169"/>
      <c r="E302" s="17"/>
      <c r="F302" s="112">
        <f ca="1">[1]!onepair_A($G$301)</f>
        <v>9.3913043478260905E-2</v>
      </c>
      <c r="G302" s="82" t="str">
        <f ca="1">[1]!onepair_A2($G$301)</f>
        <v>13% so buy</v>
      </c>
      <c r="H302" s="261"/>
      <c r="I302" s="258"/>
      <c r="J302" s="258"/>
      <c r="K302" s="258"/>
    </row>
    <row r="303" spans="1:20" x14ac:dyDescent="0.35">
      <c r="B303" s="92">
        <f ca="1">[1]!onepair_B($C$301)</f>
        <v>0.14949999999999999</v>
      </c>
      <c r="C303" s="82" t="str">
        <f ca="1">[1]!onepair_B2($C$301)</f>
        <v>do not buy</v>
      </c>
      <c r="D303" s="259"/>
      <c r="E303" s="257"/>
      <c r="F303" s="112">
        <f ca="1">[1]!onepair_B($G$301)</f>
        <v>8.1663516068052902E-2</v>
      </c>
      <c r="G303" s="82" t="str">
        <f ca="1">[1]!onepair_B2($G$301)</f>
        <v>10% so do not buy</v>
      </c>
      <c r="H303" s="261"/>
      <c r="I303" s="258"/>
      <c r="J303" s="258"/>
      <c r="K303" s="258"/>
    </row>
    <row r="304" spans="1:20" x14ac:dyDescent="0.35">
      <c r="B304" s="92">
        <f ca="1">[1]!onepair_C($C$301)</f>
        <v>0.11304347826087</v>
      </c>
      <c r="C304" s="82" t="str">
        <f ca="1">[1]!onepair_C2($C$301)</f>
        <v>do not buy</v>
      </c>
      <c r="D304" s="259"/>
      <c r="E304" s="257"/>
      <c r="F304" s="112">
        <f ca="1">[1]!onepair_C($G$301)</f>
        <v>0.108</v>
      </c>
      <c r="G304" s="82" t="str">
        <f ca="1">[1]!onepair_C2($G$301)</f>
        <v>13% so buy</v>
      </c>
      <c r="H304" s="261"/>
      <c r="I304" s="258"/>
      <c r="J304" s="258"/>
      <c r="K304" s="258"/>
    </row>
    <row r="305" spans="1:11" x14ac:dyDescent="0.35">
      <c r="B305" s="92">
        <f ca="1">[1]!onepair_D($C$301)</f>
        <v>0.13</v>
      </c>
      <c r="C305" s="82" t="str">
        <f ca="1">[1]!onepair_D2($C$301)</f>
        <v>buy</v>
      </c>
      <c r="D305" s="259"/>
      <c r="E305" s="257"/>
      <c r="F305" s="112">
        <f ca="1">[1]!onepair_D($G$301)</f>
        <v>0.108</v>
      </c>
      <c r="G305" s="82" t="str">
        <f ca="1">[1]!onepair_D2($G$301)</f>
        <v>10% so do not buy</v>
      </c>
      <c r="H305" s="261"/>
      <c r="I305" s="258"/>
      <c r="J305" s="258"/>
      <c r="K305" s="258"/>
    </row>
    <row r="306" spans="1:11" ht="16" thickBot="1" x14ac:dyDescent="0.4">
      <c r="B306" s="93">
        <f ca="1">[1]!onepair_E($C$301)</f>
        <v>0.11304347826087</v>
      </c>
      <c r="C306" s="84" t="str">
        <f ca="1">[1]!onepair_E2($C$301)</f>
        <v>buy</v>
      </c>
      <c r="D306" s="260"/>
      <c r="E306" s="257"/>
      <c r="F306" s="113">
        <f ca="1">[1]!onepair_E($G$301)</f>
        <v>9.3913043478260905E-2</v>
      </c>
      <c r="G306" s="84" t="str">
        <f ca="1">[1]!onepair_E2($G$301)</f>
        <v>10% so do not buy</v>
      </c>
      <c r="H306" s="262"/>
      <c r="I306" s="258"/>
      <c r="J306" s="258"/>
      <c r="K306" s="258"/>
    </row>
    <row r="307" spans="1:11" ht="16" thickTop="1" x14ac:dyDescent="0.35">
      <c r="B307" s="189"/>
      <c r="C307" s="17"/>
      <c r="D307" s="242"/>
      <c r="E307" s="257"/>
      <c r="F307" s="17"/>
      <c r="G307" s="258"/>
      <c r="H307" s="258"/>
      <c r="I307" s="258"/>
      <c r="J307" s="258"/>
      <c r="K307" s="258"/>
    </row>
    <row r="308" spans="1:11" x14ac:dyDescent="0.35">
      <c r="G308" s="258"/>
      <c r="H308" s="258"/>
      <c r="I308" s="258"/>
      <c r="J308" s="258"/>
      <c r="K308" s="258"/>
    </row>
    <row r="309" spans="1:11" x14ac:dyDescent="0.35">
      <c r="A309" s="88" t="s">
        <v>3736</v>
      </c>
    </row>
    <row r="310" spans="1:11" x14ac:dyDescent="0.35">
      <c r="A310" s="244">
        <f ca="1">RANDBETWEEN(7,12)*5/1000</f>
        <v>0.05</v>
      </c>
      <c r="B310" s="2" t="s">
        <v>1653</v>
      </c>
      <c r="E310" s="159">
        <f ca="1">A310+A312*A311</f>
        <v>0.16399999999999998</v>
      </c>
      <c r="F310" s="2" t="s">
        <v>2966</v>
      </c>
    </row>
    <row r="311" spans="1:11" x14ac:dyDescent="0.35">
      <c r="A311" s="244">
        <f ca="1">RANDBETWEEN(14,20)*5/1000</f>
        <v>9.5000000000000001E-2</v>
      </c>
      <c r="B311" s="2" t="s">
        <v>1144</v>
      </c>
      <c r="E311" s="26">
        <f ca="1">A314*(1+A313)/(E310-A313)</f>
        <v>12.315492957746484</v>
      </c>
      <c r="F311" s="2" t="s">
        <v>1882</v>
      </c>
      <c r="J311" s="187">
        <f ca="1">IF(I313=0,E312,E313)</f>
        <v>8.6208450704225381</v>
      </c>
      <c r="K311" s="2" t="str">
        <f ca="1">"$"&amp; ROUND(J311,2)&amp; IF(E311&gt;J311," you should buy it"," you should not buy it")</f>
        <v>$8.62 you should buy it</v>
      </c>
    </row>
    <row r="312" spans="1:11" x14ac:dyDescent="0.35">
      <c r="A312" s="115">
        <f ca="1">RANDBETWEEN(14,30)*5/100</f>
        <v>1.2</v>
      </c>
      <c r="B312" s="2" t="s">
        <v>2506</v>
      </c>
      <c r="E312" s="181">
        <f ca="1">E311*RANDBETWEEN(12,14)/10</f>
        <v>16.010140845070431</v>
      </c>
      <c r="F312" s="2" t="s">
        <v>3768</v>
      </c>
      <c r="J312" s="187">
        <f ca="1">IF(I313=1,E312,E313)</f>
        <v>16.010140845070431</v>
      </c>
      <c r="K312" s="2" t="str">
        <f ca="1">"$"&amp; ROUND(J312,2)&amp; IF(E311&gt;J312," you should buy it"," you should not buy it")</f>
        <v>$16.01 you should not buy it</v>
      </c>
    </row>
    <row r="313" spans="1:11" x14ac:dyDescent="0.35">
      <c r="A313" s="244">
        <f ca="1">ROUND(E310*RANDBETWEEN(50,80)/100,3)</f>
        <v>9.2999999999999999E-2</v>
      </c>
      <c r="B313" s="2" t="s">
        <v>3047</v>
      </c>
      <c r="E313" s="26">
        <f ca="1">E311*RANDBETWEEN(7,9)/10</f>
        <v>8.6208450704225381</v>
      </c>
      <c r="F313" s="2" t="s">
        <v>3767</v>
      </c>
      <c r="I313" s="2">
        <f ca="1">(RANDBETWEEN(0,1))</f>
        <v>1</v>
      </c>
    </row>
    <row r="314" spans="1:11" x14ac:dyDescent="0.35">
      <c r="A314" s="26">
        <f ca="1">RANDBETWEEN(14,36)*5/100</f>
        <v>0.8</v>
      </c>
      <c r="B314" s="2" t="s">
        <v>2965</v>
      </c>
      <c r="E314" s="7"/>
    </row>
    <row r="316" spans="1:11" ht="16" thickBot="1" x14ac:dyDescent="0.4">
      <c r="B316" s="120" t="s">
        <v>3735</v>
      </c>
      <c r="F316" s="120" t="s">
        <v>3738</v>
      </c>
    </row>
    <row r="317" spans="1:11" ht="16.5" thickTop="1" thickBot="1" x14ac:dyDescent="0.4">
      <c r="B317" s="76" t="str">
        <f ca="1">[1]!std_ans($C$317)</f>
        <v>A</v>
      </c>
      <c r="C317" s="79" t="str">
        <f ca="1" xml:space="preserve"> "/\" &amp;RANDBETWEEN( 1,120) &amp; "/\" &amp;RANDBETWEEN( 1,120) &amp; "/\" &amp;0.1 &amp; "/\" &amp; E311</f>
        <v>/\10/\100/\0.1/\12.3154929577465</v>
      </c>
      <c r="D317" s="80" t="s">
        <v>3737</v>
      </c>
      <c r="F317" s="76" t="str">
        <f ca="1">[1]!alpha_ans($G$317)</f>
        <v>D</v>
      </c>
      <c r="G317" s="79" t="str">
        <f ca="1" xml:space="preserve"> "/\" &amp;RANDBETWEEN( 1,5) &amp; "/\" &amp;RANDBETWEEN( 1,120) &amp; "/\" &amp;RANDBETWEEN( 1,6) &amp; "/\" &amp;RANDBETWEEN( 1,2) &amp; "/\" &amp; E311 &amp; "/\" &amp; "Mask" &amp; "/\" &amp; "Mask" &amp; "/\" &amp; J311 &amp; "/\" &amp; J312</f>
        <v>/\4/\29/\3/\2/\12.3154929577465/\Mask/\Mask/\8.62084507042254/\16.0101408450704</v>
      </c>
      <c r="H317" s="80" t="s">
        <v>3739</v>
      </c>
    </row>
    <row r="318" spans="1:11" ht="16" thickTop="1" x14ac:dyDescent="0.35">
      <c r="B318" s="129">
        <f ca="1">[1]!stdnum_A($C$317)</f>
        <v>12.3154929577465</v>
      </c>
      <c r="C318" s="82"/>
      <c r="D318" s="77"/>
      <c r="F318" s="129">
        <f ca="1">[1]!onepair_A($G$317)</f>
        <v>10.709124311083899</v>
      </c>
      <c r="G318" s="295">
        <f ca="1">ROUND([1]!onepair_A2($G$317),2)</f>
        <v>8.6199999999999992</v>
      </c>
      <c r="H318" s="77" t="str">
        <f ca="1">IF(F$317="A",IF(F318&gt;G318,"you should buy it","you should not buy it"),IF(F318=E$311,IF(F318&lt;G318,"you should buy it","you should not buy it"),CHOOSE(RANDBETWEEN(1,2),"you should buy it","you should not buy it")))</f>
        <v>you should not buy it</v>
      </c>
      <c r="J318" s="82"/>
    </row>
    <row r="319" spans="1:11" x14ac:dyDescent="0.35">
      <c r="B319" s="129">
        <f ca="1">[1]!stdnum_B($C$317)</f>
        <v>10.178093353509503</v>
      </c>
      <c r="C319" s="82"/>
      <c r="D319" s="77"/>
      <c r="F319" s="129">
        <f ca="1">[1]!onepair_B($G$317)</f>
        <v>12.3154929577465</v>
      </c>
      <c r="G319" s="295">
        <f ca="1">ROUND([1]!onepair_B2($G$317),2)</f>
        <v>16.010000000000002</v>
      </c>
      <c r="H319" s="77" t="str">
        <f ca="1">IF(F$317="B",IF(F319&gt;G319,"you should buy it","you should not buy it"),IF(F319=E$311,IF(F319&lt;G319,"you should buy it","you should not buy it"),CHOOSE(RANDBETWEEN(1,2),"you should buy it","you should not buy it")))</f>
        <v>you should buy it</v>
      </c>
    </row>
    <row r="320" spans="1:11" x14ac:dyDescent="0.35">
      <c r="B320" s="129">
        <f ca="1">[1]!stdnum_C($C$317)</f>
        <v>11.195902688860453</v>
      </c>
      <c r="C320" s="82"/>
      <c r="D320" s="77"/>
      <c r="F320" s="129">
        <f ca="1">[1]!onepair_C($G$317)</f>
        <v>14.162816901408499</v>
      </c>
      <c r="G320" s="295">
        <f ca="1">ROUND([1]!onepair_C2($G$317),2)</f>
        <v>16.010000000000002</v>
      </c>
      <c r="H320" s="77" t="str">
        <f ca="1">IF(F$317="C",IF(F320&gt;G320,"you should buy it","you should not buy it"),IF(F320=E$311,IF(F320&lt;G320,"you should buy it","you should not buy it"),CHOOSE(RANDBETWEEN(1,2),"you should buy it","you should not buy it")))</f>
        <v>you should buy it</v>
      </c>
    </row>
    <row r="321" spans="1:9" x14ac:dyDescent="0.35">
      <c r="B321" s="129">
        <f ca="1">[1]!stdnum_D($C$317)</f>
        <v>9.2528121395540914</v>
      </c>
      <c r="C321" s="82"/>
      <c r="D321" s="77"/>
      <c r="F321" s="129">
        <f ca="1">[1]!onepair_D($G$317)</f>
        <v>12.3154929577465</v>
      </c>
      <c r="G321" s="295">
        <f ca="1">ROUND([1]!onepair_D2($G$317),2)</f>
        <v>8.6199999999999992</v>
      </c>
      <c r="H321" s="77" t="str">
        <f ca="1">IF(F$317="D",IF(F321&gt;G321,"you should buy it","you should not buy it"),IF(F321=E$311,IF(F321&lt;G321,"you should buy it","you should not buy it"),CHOOSE(RANDBETWEEN(1,2),"you should buy it","you should not buy it")))</f>
        <v>you should buy it</v>
      </c>
    </row>
    <row r="322" spans="1:9" ht="16" thickBot="1" x14ac:dyDescent="0.4">
      <c r="B322" s="130">
        <f ca="1">[1]!stdnum_E($C$317)</f>
        <v>8.4116473995946297</v>
      </c>
      <c r="C322" s="84"/>
      <c r="D322" s="78"/>
      <c r="F322" s="130">
        <f ca="1">[1]!onepair_E($G$317)</f>
        <v>14.162816901408499</v>
      </c>
      <c r="G322" s="296">
        <f ca="1">ROUND([1]!onepair_E2($G$317),2)</f>
        <v>8.6199999999999992</v>
      </c>
      <c r="H322" s="77" t="str">
        <f ca="1">IF(F$317="E",IF(F322&gt;G322,"you should buy it","you should not buy it"),IF(F322=E$311,IF(F322&lt;G322,"you should buy it","you should not buy it"),CHOOSE(RANDBETWEEN(1,2),"you should buy it","you should not buy it")))</f>
        <v>you should buy it</v>
      </c>
    </row>
    <row r="323" spans="1:9" ht="16" thickTop="1" x14ac:dyDescent="0.35"/>
    <row r="325" spans="1:9" x14ac:dyDescent="0.35">
      <c r="A325" s="120" t="s">
        <v>3740</v>
      </c>
    </row>
    <row r="326" spans="1:9" x14ac:dyDescent="0.35">
      <c r="A326" s="15">
        <f ca="1">RANDBETWEEN(5,10)*5/1000</f>
        <v>0.03</v>
      </c>
      <c r="B326" s="2" t="s">
        <v>773</v>
      </c>
      <c r="E326" s="9">
        <f ca="1">A326+A327+A330*A328</f>
        <v>0.13550000000000001</v>
      </c>
      <c r="F326" s="2" t="s">
        <v>1141</v>
      </c>
    </row>
    <row r="327" spans="1:9" x14ac:dyDescent="0.35">
      <c r="A327" s="15">
        <f ca="1">RANDBETWEEN(2,8)*5/1000</f>
        <v>0.02</v>
      </c>
      <c r="B327" s="2" t="s">
        <v>1142</v>
      </c>
      <c r="E327" s="9">
        <f ca="1">A326+A327+A330*(A328+(A333/10000)*IF(I327=0,1,-1))</f>
        <v>0.14974999999999999</v>
      </c>
      <c r="F327" s="2" t="s">
        <v>1143</v>
      </c>
      <c r="I327" s="2">
        <f ca="1">(RANDBETWEEN(0,1))</f>
        <v>0</v>
      </c>
    </row>
    <row r="328" spans="1:9" x14ac:dyDescent="0.35">
      <c r="A328" s="15">
        <f ca="1">RANDBETWEEN(14,20)*5/1000</f>
        <v>0.09</v>
      </c>
      <c r="B328" s="2" t="s">
        <v>1144</v>
      </c>
      <c r="E328" s="13">
        <f ca="1">A331*(1+A329)/(E326-A329)</f>
        <v>13.856353591160216</v>
      </c>
      <c r="F328" s="2" t="s">
        <v>1145</v>
      </c>
      <c r="I328" s="2">
        <f ca="1">IF(F318&lt;&gt;[1]!onepair_A2($G$317),1,0)</f>
        <v>1</v>
      </c>
    </row>
    <row r="329" spans="1:9" x14ac:dyDescent="0.35">
      <c r="A329" s="15">
        <f ca="1">RANDBETWEEN(5,14)*5/1000</f>
        <v>4.4999999999999998E-2</v>
      </c>
      <c r="B329" s="2" t="s">
        <v>3047</v>
      </c>
      <c r="E329" s="13">
        <f ca="1">A331*(1+A329)/(E327-A329)</f>
        <v>11.971360381861574</v>
      </c>
      <c r="F329" s="2" t="s">
        <v>2505</v>
      </c>
    </row>
    <row r="330" spans="1:9" x14ac:dyDescent="0.35">
      <c r="A330" s="114">
        <f ca="1">RANDBETWEEN(14,36)*5/100</f>
        <v>0.95</v>
      </c>
      <c r="B330" s="2" t="s">
        <v>2506</v>
      </c>
      <c r="E330" s="14">
        <f ca="1">E329/E328-1</f>
        <v>-0.13603818615751773</v>
      </c>
      <c r="F330" s="2" t="s">
        <v>2507</v>
      </c>
    </row>
    <row r="331" spans="1:9" x14ac:dyDescent="0.35">
      <c r="A331" s="13">
        <f ca="1">RANDBETWEEN(14,36)*5/100</f>
        <v>1.2</v>
      </c>
      <c r="B331" s="2" t="s">
        <v>51</v>
      </c>
    </row>
    <row r="332" spans="1:9" x14ac:dyDescent="0.35">
      <c r="A332" s="16"/>
      <c r="B332" s="16"/>
      <c r="C332" s="16"/>
    </row>
    <row r="333" spans="1:9" x14ac:dyDescent="0.35">
      <c r="A333" s="263">
        <f ca="1">RANDBETWEEN(14,36)*5</f>
        <v>150</v>
      </c>
      <c r="B333" s="2" t="str">
        <f ca="1">IF(I327=0,"increases","decreases")</f>
        <v>increases</v>
      </c>
      <c r="C333" s="2" t="s">
        <v>3449</v>
      </c>
    </row>
    <row r="334" spans="1:9" ht="16" thickBot="1" x14ac:dyDescent="0.4"/>
    <row r="335" spans="1:9" ht="16.5" thickTop="1" thickBot="1" x14ac:dyDescent="0.4">
      <c r="B335" s="76" t="str">
        <f ca="1">[1]!std_ans($C$335)</f>
        <v>D</v>
      </c>
      <c r="C335" s="79" t="str">
        <f ca="1" xml:space="preserve"> "/\" &amp;RANDBETWEEN( 1,120) &amp; "/\" &amp;RANDBETWEEN( 1,120) &amp; "/\" &amp;0.1 &amp; "/\" &amp; E330</f>
        <v>/\71/\118/\0.1/\-0.136038186157518</v>
      </c>
      <c r="D335" s="80" t="s">
        <v>362</v>
      </c>
    </row>
    <row r="336" spans="1:9" ht="16" thickTop="1" x14ac:dyDescent="0.35">
      <c r="B336" s="92">
        <f ca="1">[1]!stdnum_A($C$335)</f>
        <v>-0.10220750274794738</v>
      </c>
      <c r="C336" s="82"/>
      <c r="D336" s="77"/>
    </row>
    <row r="337" spans="1:6" x14ac:dyDescent="0.35">
      <c r="B337" s="92">
        <f ca="1">[1]!stdnum_B($C$335)</f>
        <v>-9.2915911589043082E-2</v>
      </c>
      <c r="C337" s="82"/>
      <c r="D337" s="77"/>
    </row>
    <row r="338" spans="1:6" x14ac:dyDescent="0.35">
      <c r="B338" s="92">
        <f ca="1">[1]!stdnum_C($C$335)</f>
        <v>-0.11242825302274213</v>
      </c>
      <c r="C338" s="82"/>
      <c r="D338" s="77"/>
    </row>
    <row r="339" spans="1:6" x14ac:dyDescent="0.35">
      <c r="B339" s="92">
        <f ca="1">[1]!stdnum_D($C$335)</f>
        <v>-0.136038186157518</v>
      </c>
      <c r="C339" s="82"/>
      <c r="D339" s="77"/>
    </row>
    <row r="340" spans="1:6" ht="16" thickBot="1" x14ac:dyDescent="0.4">
      <c r="B340" s="93">
        <f ca="1">[1]!stdnum_E($C$335)</f>
        <v>-0.12367107832501636</v>
      </c>
      <c r="C340" s="84"/>
      <c r="D340" s="78"/>
    </row>
    <row r="341" spans="1:6" ht="16" thickTop="1" x14ac:dyDescent="0.35"/>
    <row r="343" spans="1:6" x14ac:dyDescent="0.35">
      <c r="A343" s="120" t="s">
        <v>612</v>
      </c>
    </row>
    <row r="344" spans="1:6" x14ac:dyDescent="0.35">
      <c r="A344" s="15">
        <f ca="1">RANDBETWEEN(5,10)*5/1000</f>
        <v>0.05</v>
      </c>
      <c r="B344" s="2" t="s">
        <v>773</v>
      </c>
      <c r="E344" s="9">
        <f ca="1">A344+A345+A348*A346</f>
        <v>0.21100000000000002</v>
      </c>
      <c r="F344" s="2" t="s">
        <v>1141</v>
      </c>
    </row>
    <row r="345" spans="1:6" x14ac:dyDescent="0.35">
      <c r="A345" s="15">
        <f ca="1">RANDBETWEEN(2,8)*5/1000</f>
        <v>3.5000000000000003E-2</v>
      </c>
      <c r="B345" s="2" t="s">
        <v>1142</v>
      </c>
      <c r="E345" s="9">
        <f ca="1">A344+A345+E350*A346</f>
        <v>0.193</v>
      </c>
      <c r="F345" s="2" t="s">
        <v>1143</v>
      </c>
    </row>
    <row r="346" spans="1:6" x14ac:dyDescent="0.35">
      <c r="A346" s="15">
        <f ca="1">RANDBETWEEN(14,20)*5/1000</f>
        <v>0.09</v>
      </c>
      <c r="B346" s="2" t="s">
        <v>1144</v>
      </c>
      <c r="E346" s="13">
        <f ca="1">A349*(1+A347)/(E344-A347)</f>
        <v>6.5217391304347814</v>
      </c>
      <c r="F346" s="2" t="s">
        <v>1145</v>
      </c>
    </row>
    <row r="347" spans="1:6" x14ac:dyDescent="0.35">
      <c r="A347" s="15">
        <f ca="1">RANDBETWEEN(5,14)*5/1000</f>
        <v>0.05</v>
      </c>
      <c r="B347" s="2" t="s">
        <v>3047</v>
      </c>
      <c r="E347" s="13">
        <f ca="1">A349*(1+E349)/(E345-E349)</f>
        <v>8.1769230769230763</v>
      </c>
      <c r="F347" s="2" t="s">
        <v>2505</v>
      </c>
    </row>
    <row r="348" spans="1:6" x14ac:dyDescent="0.35">
      <c r="A348" s="114">
        <f ca="1">RANDBETWEEN(14,36)*5/100</f>
        <v>1.4</v>
      </c>
      <c r="B348" s="2" t="s">
        <v>2506</v>
      </c>
      <c r="E348" s="14">
        <f ca="1">E347/E346-1</f>
        <v>0.25379487179487192</v>
      </c>
      <c r="F348" s="2" t="s">
        <v>2507</v>
      </c>
    </row>
    <row r="349" spans="1:6" x14ac:dyDescent="0.35">
      <c r="A349" s="13">
        <f ca="1">RANDBETWEEN(14,36)*5/100</f>
        <v>1</v>
      </c>
      <c r="B349" s="2" t="s">
        <v>51</v>
      </c>
      <c r="E349" s="29">
        <f ca="1">ROUND(A347*vMask20,3)</f>
        <v>6.3E-2</v>
      </c>
      <c r="F349" s="2" t="s">
        <v>3329</v>
      </c>
    </row>
    <row r="350" spans="1:6" x14ac:dyDescent="0.35">
      <c r="A350" s="16"/>
      <c r="B350" s="16"/>
      <c r="C350" s="16"/>
      <c r="E350" s="114">
        <f ca="1">ROUND(A348/vMask20*vMask05,1)</f>
        <v>1.2</v>
      </c>
      <c r="F350" s="2" t="s">
        <v>3330</v>
      </c>
    </row>
    <row r="351" spans="1:6" ht="16" thickBot="1" x14ac:dyDescent="0.4"/>
    <row r="352" spans="1:6" ht="16.5" thickTop="1" thickBot="1" x14ac:dyDescent="0.4">
      <c r="B352" s="76" t="str">
        <f ca="1">[1]!std_ans($C$352)</f>
        <v>B</v>
      </c>
      <c r="C352" s="79" t="str">
        <f ca="1" xml:space="preserve"> "/\" &amp;RANDBETWEEN( 1,120) &amp; "/\" &amp;RANDBETWEEN( 1,120) &amp; "/\" &amp;0.1 &amp; "/\" &amp; E348</f>
        <v>/\98/\53/\0.1/\0.253794871794872</v>
      </c>
      <c r="D352" s="80" t="s">
        <v>613</v>
      </c>
    </row>
    <row r="353" spans="1:8" ht="16" thickTop="1" x14ac:dyDescent="0.35">
      <c r="B353" s="92">
        <f ca="1">[1]!stdnum_A($C$352)</f>
        <v>0.27917435897435922</v>
      </c>
      <c r="C353" s="82"/>
      <c r="D353" s="77"/>
    </row>
    <row r="354" spans="1:8" x14ac:dyDescent="0.35">
      <c r="B354" s="92">
        <f ca="1">[1]!stdnum_B($C$352)</f>
        <v>0.25379487179487198</v>
      </c>
      <c r="C354" s="82"/>
      <c r="D354" s="77"/>
    </row>
    <row r="355" spans="1:8" x14ac:dyDescent="0.35">
      <c r="B355" s="92">
        <f ca="1">[1]!stdnum_C($C$352)</f>
        <v>0.20974782792964625</v>
      </c>
      <c r="C355" s="82"/>
      <c r="D355" s="77"/>
    </row>
    <row r="356" spans="1:8" x14ac:dyDescent="0.35">
      <c r="B356" s="92">
        <f ca="1">[1]!stdnum_D($C$352)</f>
        <v>0.23072261072261088</v>
      </c>
      <c r="C356" s="82"/>
      <c r="D356" s="77"/>
    </row>
    <row r="357" spans="1:8" ht="16" thickBot="1" x14ac:dyDescent="0.4">
      <c r="B357" s="93">
        <f ca="1">[1]!stdnum_E($C$352)</f>
        <v>0.30709179487179517</v>
      </c>
      <c r="C357" s="84"/>
      <c r="D357" s="78"/>
    </row>
    <row r="358" spans="1:8" ht="16" thickTop="1" x14ac:dyDescent="0.35"/>
    <row r="360" spans="1:8" x14ac:dyDescent="0.35">
      <c r="A360" s="88" t="s">
        <v>94</v>
      </c>
    </row>
    <row r="361" spans="1:8" x14ac:dyDescent="0.35">
      <c r="A361" s="15">
        <f ca="1">RANDBETWEEN(5,10)*5/1000</f>
        <v>4.4999999999999998E-2</v>
      </c>
      <c r="B361" s="2" t="s">
        <v>3813</v>
      </c>
      <c r="E361" s="9">
        <f ca="1">A361+A364*A362</f>
        <v>0.14950000000000002</v>
      </c>
      <c r="F361" s="2" t="s">
        <v>1141</v>
      </c>
    </row>
    <row r="362" spans="1:8" x14ac:dyDescent="0.35">
      <c r="A362" s="15">
        <f ca="1">RANDBETWEEN(14,20)*5/1000</f>
        <v>9.5000000000000001E-2</v>
      </c>
      <c r="B362" s="2" t="s">
        <v>1144</v>
      </c>
      <c r="E362" s="9">
        <f ca="1">A361+A364*(A362+E367/10000)</f>
        <v>0.17150000000000004</v>
      </c>
      <c r="F362" s="2" t="s">
        <v>1143</v>
      </c>
    </row>
    <row r="363" spans="1:8" x14ac:dyDescent="0.35">
      <c r="A363" s="15">
        <f ca="1">RANDBETWEEN(5,14)*5/1000</f>
        <v>0.03</v>
      </c>
      <c r="B363" s="2" t="s">
        <v>3047</v>
      </c>
      <c r="E363" s="13">
        <f ca="1">A365*(1+A363)/(E361-A363)</f>
        <v>10.343096234309622</v>
      </c>
      <c r="F363" s="2" t="s">
        <v>1145</v>
      </c>
    </row>
    <row r="364" spans="1:8" x14ac:dyDescent="0.35">
      <c r="A364" s="114">
        <f ca="1">RANDBETWEEN(14,36)*5/100</f>
        <v>1.1000000000000001</v>
      </c>
      <c r="B364" s="2" t="s">
        <v>2506</v>
      </c>
      <c r="E364" s="13">
        <f ca="1">A365*(1+A363+H366*E366/10000)/(E362-(A363+H366*E366/10000))</f>
        <v>11.408071748878919</v>
      </c>
      <c r="F364" s="2" t="s">
        <v>2505</v>
      </c>
    </row>
    <row r="365" spans="1:8" x14ac:dyDescent="0.35">
      <c r="A365" s="13">
        <f ca="1">RANDBETWEEN(14,36)*5/100</f>
        <v>1.2</v>
      </c>
      <c r="B365" s="2" t="s">
        <v>51</v>
      </c>
      <c r="E365" s="14">
        <f ca="1">IF(ABS(E364/E363-1)&gt;0.05,E364/E363-1,"RECALCULATE")</f>
        <v>0.10296486568853647</v>
      </c>
      <c r="F365" s="2" t="s">
        <v>2507</v>
      </c>
    </row>
    <row r="366" spans="1:8" x14ac:dyDescent="0.35">
      <c r="D366" s="6" t="str">
        <f ca="1">IF(H366&gt;0,"rising","falling")</f>
        <v>rising</v>
      </c>
      <c r="E366" s="3">
        <f ca="1">RANDBETWEEN(2,12)*25</f>
        <v>300</v>
      </c>
      <c r="F366" s="2" t="s">
        <v>532</v>
      </c>
      <c r="H366" s="4">
        <f ca="1">-1^RANDBETWEEN(1,2)</f>
        <v>1</v>
      </c>
    </row>
    <row r="367" spans="1:8" x14ac:dyDescent="0.35">
      <c r="A367" s="16"/>
      <c r="B367" s="16"/>
      <c r="C367" s="16"/>
      <c r="E367" s="3">
        <f ca="1">RANDBETWEEN(4,12)*25</f>
        <v>200</v>
      </c>
      <c r="F367" s="2" t="s">
        <v>533</v>
      </c>
    </row>
    <row r="368" spans="1:8" ht="16" thickBot="1" x14ac:dyDescent="0.4"/>
    <row r="369" spans="1:6" ht="16.5" thickTop="1" thickBot="1" x14ac:dyDescent="0.4">
      <c r="B369" s="76" t="str">
        <f ca="1">[1]!std_ans($C$369)</f>
        <v>B</v>
      </c>
      <c r="C369" s="79" t="str">
        <f ca="1" xml:space="preserve"> "/\" &amp;RANDBETWEEN( 1,120) &amp; "/\" &amp;RANDBETWEEN( 1,120) &amp; "/\" &amp;0.1 &amp; "/\" &amp; E365</f>
        <v>/\53/\102/\0.1/\0.102964865688536</v>
      </c>
      <c r="D369" s="80" t="s">
        <v>95</v>
      </c>
    </row>
    <row r="370" spans="1:6" ht="16" thickTop="1" x14ac:dyDescent="0.35">
      <c r="B370" s="92">
        <f ca="1">[1]!stdnum_A($C$369)</f>
        <v>9.3604423353214533E-2</v>
      </c>
      <c r="C370" s="82"/>
      <c r="D370" s="77"/>
    </row>
    <row r="371" spans="1:6" x14ac:dyDescent="0.35">
      <c r="B371" s="92">
        <f ca="1">[1]!stdnum_B($C$369)</f>
        <v>0.10296486568853599</v>
      </c>
      <c r="C371" s="82"/>
      <c r="D371" s="77"/>
    </row>
    <row r="372" spans="1:6" x14ac:dyDescent="0.35">
      <c r="B372" s="92">
        <f ca="1">[1]!stdnum_C($C$369)</f>
        <v>7.7359027564640095E-2</v>
      </c>
      <c r="C372" s="82"/>
      <c r="D372" s="77"/>
    </row>
    <row r="373" spans="1:6" x14ac:dyDescent="0.35">
      <c r="B373" s="92">
        <f ca="1">[1]!stdnum_D($C$369)</f>
        <v>7.0326388695127362E-2</v>
      </c>
      <c r="C373" s="82"/>
      <c r="D373" s="77"/>
    </row>
    <row r="374" spans="1:6" ht="16" thickBot="1" x14ac:dyDescent="0.4">
      <c r="B374" s="93">
        <f ca="1">[1]!stdnum_E($C$369)</f>
        <v>8.5094930321104115E-2</v>
      </c>
      <c r="C374" s="84"/>
      <c r="D374" s="78"/>
    </row>
    <row r="375" spans="1:6" ht="16" thickTop="1" x14ac:dyDescent="0.35"/>
    <row r="377" spans="1:6" x14ac:dyDescent="0.35">
      <c r="A377" s="88" t="s">
        <v>1092</v>
      </c>
    </row>
    <row r="378" spans="1:6" x14ac:dyDescent="0.35">
      <c r="A378" s="36"/>
      <c r="B378" s="48" t="s">
        <v>219</v>
      </c>
      <c r="C378" s="57" t="s">
        <v>220</v>
      </c>
      <c r="D378" s="48"/>
      <c r="E378" s="36"/>
      <c r="F378" s="36"/>
    </row>
    <row r="379" spans="1:6" x14ac:dyDescent="0.35">
      <c r="A379" s="48" t="s">
        <v>3003</v>
      </c>
      <c r="B379" s="52">
        <f ca="1">RANDBETWEEN(80,200)/1000</f>
        <v>0.123</v>
      </c>
      <c r="C379" s="52">
        <f ca="1">RANDBETWEEN(80,200)/1000</f>
        <v>0.10199999999999999</v>
      </c>
      <c r="D379" s="50"/>
      <c r="E379" s="39" t="s">
        <v>2973</v>
      </c>
      <c r="F379" s="55" t="str">
        <f ca="1">IF(OR(AND(B379&gt;B380,C379&lt;=C380),AND(B379&gt;=B380,C379&lt;C380)),"Y is dominant",IF(OR(AND(B379&lt;B380,C379&gt;=C380),AND(B379&lt;=B380,C379&gt;C380)),"there is a trade-off","X is dominant"))</f>
        <v>X is dominant</v>
      </c>
    </row>
    <row r="380" spans="1:6" x14ac:dyDescent="0.35">
      <c r="A380" s="48" t="s">
        <v>458</v>
      </c>
      <c r="B380" s="52">
        <f ca="1">RANDBETWEEN(80,200)/1000</f>
        <v>0.17699999999999999</v>
      </c>
      <c r="C380" s="52">
        <f ca="1">RANDBETWEEN(80,200)/1000</f>
        <v>0.12</v>
      </c>
      <c r="D380" s="52"/>
      <c r="E380" s="39" t="s">
        <v>2974</v>
      </c>
      <c r="F380" s="55" t="str">
        <f ca="1">IF(OR(AND(B379&gt;B380,C379&lt;=C380),AND(B379&gt;=B380,C379&lt;C380)),"there is a trade-off",IF(OR(AND(B379&lt;B380,C379&gt;=C380),AND(B379&lt;=B380,C379&gt;C380)),"X is dominant","Y is dominant"))</f>
        <v>Y is dominant</v>
      </c>
    </row>
    <row r="381" spans="1:6" x14ac:dyDescent="0.35">
      <c r="A381" s="36"/>
      <c r="B381" s="52"/>
      <c r="C381" s="52"/>
      <c r="D381" s="52"/>
      <c r="E381" s="39" t="s">
        <v>2972</v>
      </c>
      <c r="F381" s="55" t="str">
        <f ca="1">IF(OR(AND(B379&gt;B380,C379&lt;=C380),AND(B379&gt;=B380,C379&lt;C380)),"X is dominant",IF(OR(AND(B379&lt;B380,C379&gt;=C380),AND(B379&lt;=B380,C379&gt;C380)),"Y is dominant","there is a trade-off"))</f>
        <v>there is a trade-off</v>
      </c>
    </row>
    <row r="382" spans="1:6" ht="16" thickBot="1" x14ac:dyDescent="0.4"/>
    <row r="383" spans="1:6" ht="16.5" thickTop="1" thickBot="1" x14ac:dyDescent="0.4">
      <c r="B383" s="76" t="str">
        <f ca="1">[1]!threechoice_ans($C$383)</f>
        <v>C</v>
      </c>
      <c r="C383" s="79" t="str">
        <f ca="1" xml:space="preserve"> "/\" &amp;RANDBETWEEN( 1,6) &amp; "/\" &amp; F381 &amp; "/\" &amp; F379 &amp; "/\" &amp; F380</f>
        <v>/\4/\there is a trade-off/\X is dominant/\Y is dominant</v>
      </c>
      <c r="D383" s="80" t="s">
        <v>1093</v>
      </c>
    </row>
    <row r="384" spans="1:6" ht="16" thickTop="1" x14ac:dyDescent="0.35">
      <c r="B384" s="196" t="str">
        <f ca="1">[1]!threechoice_A($C$383)</f>
        <v>X is dominant</v>
      </c>
      <c r="C384" s="82"/>
      <c r="D384" s="77"/>
    </row>
    <row r="385" spans="1:11" x14ac:dyDescent="0.35">
      <c r="B385" s="196" t="str">
        <f ca="1">[1]!threechoice_B($C$383)</f>
        <v>Y is dominant</v>
      </c>
      <c r="C385" s="82"/>
      <c r="D385" s="77"/>
    </row>
    <row r="386" spans="1:11" x14ac:dyDescent="0.35">
      <c r="B386" s="196" t="str">
        <f ca="1">[1]!threechoice_C($C$383)</f>
        <v>there is a trade-off</v>
      </c>
      <c r="C386" s="82"/>
      <c r="D386" s="77"/>
    </row>
    <row r="387" spans="1:11" x14ac:dyDescent="0.35">
      <c r="B387" s="196"/>
      <c r="C387" s="82"/>
      <c r="D387" s="77"/>
    </row>
    <row r="388" spans="1:11" ht="16" thickBot="1" x14ac:dyDescent="0.4">
      <c r="B388" s="219"/>
      <c r="C388" s="84"/>
      <c r="D388" s="78"/>
    </row>
    <row r="389" spans="1:11" ht="16" thickTop="1" x14ac:dyDescent="0.35"/>
    <row r="391" spans="1:11" x14ac:dyDescent="0.35">
      <c r="A391" s="120" t="s">
        <v>3738</v>
      </c>
    </row>
    <row r="392" spans="1:11" x14ac:dyDescent="0.35">
      <c r="A392" s="244">
        <f ca="1">RANDBETWEEN(7,12)*5/1000</f>
        <v>0.06</v>
      </c>
      <c r="B392" s="2" t="s">
        <v>1653</v>
      </c>
      <c r="E392" s="159">
        <f ca="1">A392+A394*A393</f>
        <v>0.13500000000000001</v>
      </c>
      <c r="F392" s="2" t="s">
        <v>2966</v>
      </c>
      <c r="I392" s="2">
        <f ca="1">(RANDBETWEEN(0,1))</f>
        <v>0</v>
      </c>
      <c r="K392" s="2" t="str">
        <f ca="1">IF(OR(I391="A",I392&lt;&gt;G392),IF(I392&gt;J392,"buy","not buy"),IF(I392&lt;J392,"buy","not buy"))</f>
        <v>not buy</v>
      </c>
    </row>
    <row r="393" spans="1:11" x14ac:dyDescent="0.35">
      <c r="A393" s="244">
        <f ca="1">RANDBETWEEN(14,20)*5/1000</f>
        <v>7.4999999999999997E-2</v>
      </c>
      <c r="B393" s="2" t="s">
        <v>1144</v>
      </c>
      <c r="E393" s="26">
        <f ca="1">A396*(1+A395)/(E392-A395)</f>
        <v>30.811475409836063</v>
      </c>
      <c r="F393" s="2" t="s">
        <v>1882</v>
      </c>
      <c r="K393" s="2" t="str">
        <f>IF(OR(I391="B",I393&lt;&gt;G392),IF(I393&gt;J393,"buy","not buy"),IF(I393&lt;J393,"buy","not buy"))</f>
        <v>not buy</v>
      </c>
    </row>
    <row r="394" spans="1:11" x14ac:dyDescent="0.35">
      <c r="A394" s="115">
        <f ca="1">RANDBETWEEN(14,30)*5/100</f>
        <v>1</v>
      </c>
      <c r="B394" s="2" t="s">
        <v>2506</v>
      </c>
      <c r="E394" s="181">
        <f ca="1">E393*RANDBETWEEN(12,14)/10</f>
        <v>40.054918032786887</v>
      </c>
      <c r="F394" s="2" t="s">
        <v>3768</v>
      </c>
      <c r="I394" s="26">
        <f ca="1">IF(I392=0,E394,E395)</f>
        <v>40.054918032786887</v>
      </c>
      <c r="K394" s="2" t="str">
        <f ca="1">IF(OR(I391="C",I394&lt;&gt;G392),IF(I394&gt;J394,"buy","not buy"),IF(I394&lt;J394,"buy","not buy"))</f>
        <v>buy</v>
      </c>
    </row>
    <row r="395" spans="1:11" x14ac:dyDescent="0.35">
      <c r="A395" s="244">
        <f ca="1">ROUND(E392*RANDBETWEEN(50,80)/100,3)</f>
        <v>7.3999999999999996E-2</v>
      </c>
      <c r="B395" s="2" t="s">
        <v>3047</v>
      </c>
      <c r="E395" s="26">
        <f ca="1">E393*RANDBETWEEN(7,9)/10</f>
        <v>24.649180327868851</v>
      </c>
      <c r="F395" s="2" t="s">
        <v>3767</v>
      </c>
      <c r="I395" s="187">
        <f ca="1">IF(I394=E394,E395,E394)</f>
        <v>24.649180327868851</v>
      </c>
      <c r="K395" s="2" t="str">
        <f ca="1">IF(OR(I391="D",I395&lt;&gt;G392),IF(I395&gt;J395,"buy","not buy"),IF(I395&lt;J395,"buy","not buy"))</f>
        <v>buy</v>
      </c>
    </row>
    <row r="396" spans="1:11" x14ac:dyDescent="0.35">
      <c r="A396" s="26">
        <f ca="1">RANDBETWEEN(14,36)*5/100</f>
        <v>1.75</v>
      </c>
      <c r="B396" s="2" t="s">
        <v>2965</v>
      </c>
      <c r="K396" s="2" t="str">
        <f>IF(OR(I391="E",I396&lt;&gt;G392),IF(I396&gt;J396,"buy","not buy"),IF(I396&lt;J396,"buy","not buy"))</f>
        <v>not buy</v>
      </c>
    </row>
    <row r="399" spans="1:11" x14ac:dyDescent="0.35">
      <c r="A399" s="120" t="s">
        <v>2769</v>
      </c>
    </row>
    <row r="400" spans="1:11" x14ac:dyDescent="0.35">
      <c r="A400" s="20">
        <f ca="1">RANDBETWEEN(5,10)*5</f>
        <v>40</v>
      </c>
      <c r="B400" s="2" t="s">
        <v>1385</v>
      </c>
    </row>
    <row r="401" spans="1:8" x14ac:dyDescent="0.35">
      <c r="A401" s="20">
        <f ca="1">ROUND((A400-5)*MIN(vMask20,1/vMask20),0)</f>
        <v>28</v>
      </c>
      <c r="B401" s="2" t="s">
        <v>1386</v>
      </c>
    </row>
    <row r="402" spans="1:8" x14ac:dyDescent="0.35">
      <c r="A402" s="20">
        <f ca="1">RANDBETWEEN(5,10)*4250</f>
        <v>21250</v>
      </c>
      <c r="B402" s="2" t="s">
        <v>1377</v>
      </c>
      <c r="E402" s="234">
        <f ca="1">A402/(A400-A401)</f>
        <v>1770.8333333333333</v>
      </c>
      <c r="F402" s="2" t="s">
        <v>1387</v>
      </c>
    </row>
    <row r="403" spans="1:8" x14ac:dyDescent="0.35">
      <c r="A403" s="20">
        <f ca="1">RANDBETWEEN(5,10)*5000</f>
        <v>30000</v>
      </c>
      <c r="B403" s="2" t="s">
        <v>200</v>
      </c>
      <c r="E403" s="234">
        <f ca="1">(A403+A402)/(A400-A401)</f>
        <v>4270.833333333333</v>
      </c>
      <c r="F403" s="2" t="s">
        <v>201</v>
      </c>
    </row>
    <row r="404" spans="1:8" ht="16" thickBot="1" x14ac:dyDescent="0.4">
      <c r="B404" s="88" t="s">
        <v>2768</v>
      </c>
      <c r="F404" s="88" t="s">
        <v>2770</v>
      </c>
    </row>
    <row r="405" spans="1:8" ht="16.5" thickTop="1" thickBot="1" x14ac:dyDescent="0.4">
      <c r="B405" s="76" t="str">
        <f ca="1">[1]!std_ans($C$405)</f>
        <v>A</v>
      </c>
      <c r="C405" s="79" t="str">
        <f ca="1" xml:space="preserve"> "/\" &amp;RANDBETWEEN( 1,120) &amp; "/\" &amp;RANDBETWEEN( 1,120) &amp; "/\" &amp;0.1 &amp; "/\" &amp; E402</f>
        <v>/\11/\62/\0.1/\1770.83333333333</v>
      </c>
      <c r="D405" s="80" t="s">
        <v>202</v>
      </c>
      <c r="F405" s="76" t="str">
        <f ca="1">[1]!std_ans($G$405)</f>
        <v>E</v>
      </c>
      <c r="G405" s="79" t="str">
        <f ca="1" xml:space="preserve"> "/\" &amp;RANDBETWEEN( 1,120) &amp; "/\" &amp;RANDBETWEEN( 1,120) &amp; "/\" &amp;0.1 &amp; "/\" &amp; E403</f>
        <v>/\96/\76/\0.1/\4270.83333333333</v>
      </c>
      <c r="H405" s="80" t="s">
        <v>203</v>
      </c>
    </row>
    <row r="406" spans="1:8" ht="16" thickTop="1" x14ac:dyDescent="0.35">
      <c r="B406" s="74">
        <f ca="1">[1]!stdnum_A($C$405)</f>
        <v>1770.8333333333301</v>
      </c>
      <c r="C406" s="82"/>
      <c r="D406" s="77"/>
      <c r="F406" s="74">
        <f ca="1">[1]!stdnum_A($G$405)</f>
        <v>4697.9166666666633</v>
      </c>
      <c r="G406" s="82"/>
      <c r="H406" s="77"/>
    </row>
    <row r="407" spans="1:8" x14ac:dyDescent="0.35">
      <c r="B407" s="74">
        <f ca="1">[1]!stdnum_B($C$405)</f>
        <v>1463.4986225895288</v>
      </c>
      <c r="C407" s="82"/>
      <c r="D407" s="77"/>
      <c r="F407" s="74">
        <f ca="1">[1]!stdnum_B($G$405)</f>
        <v>3529.6143250688679</v>
      </c>
      <c r="G407" s="82"/>
      <c r="H407" s="77"/>
    </row>
    <row r="408" spans="1:8" x14ac:dyDescent="0.35">
      <c r="B408" s="74">
        <f ca="1">[1]!stdnum_C($C$405)</f>
        <v>1609.8484848484818</v>
      </c>
      <c r="C408" s="82"/>
      <c r="D408" s="77"/>
      <c r="F408" s="74">
        <f ca="1">[1]!stdnum_C($G$405)</f>
        <v>3882.5757575757548</v>
      </c>
      <c r="G408" s="82"/>
      <c r="H408" s="77"/>
    </row>
    <row r="409" spans="1:8" x14ac:dyDescent="0.35">
      <c r="B409" s="74">
        <f ca="1">[1]!stdnum_D($C$405)</f>
        <v>1947.9166666666633</v>
      </c>
      <c r="C409" s="82"/>
      <c r="D409" s="77"/>
      <c r="F409" s="74">
        <f ca="1">[1]!stdnum_D($G$405)</f>
        <v>3208.7402955171519</v>
      </c>
      <c r="G409" s="82"/>
      <c r="H409" s="77"/>
    </row>
    <row r="410" spans="1:8" ht="16" thickBot="1" x14ac:dyDescent="0.4">
      <c r="B410" s="75">
        <f ca="1">[1]!stdnum_E($C$405)</f>
        <v>2142.7083333333298</v>
      </c>
      <c r="C410" s="84"/>
      <c r="D410" s="78"/>
      <c r="F410" s="75">
        <f ca="1">[1]!stdnum_E($G$405)</f>
        <v>4270.8333333333303</v>
      </c>
      <c r="G410" s="84"/>
      <c r="H410" s="78"/>
    </row>
    <row r="411" spans="1:8" ht="16" thickTop="1" x14ac:dyDescent="0.35"/>
    <row r="413" spans="1:8" x14ac:dyDescent="0.35">
      <c r="A413" s="120" t="s">
        <v>1517</v>
      </c>
    </row>
    <row r="414" spans="1:8" x14ac:dyDescent="0.35">
      <c r="A414" s="20">
        <f ca="1">RANDBETWEEN(5,10)*5</f>
        <v>25</v>
      </c>
      <c r="B414" s="2" t="s">
        <v>1385</v>
      </c>
      <c r="E414" s="234">
        <f ca="1">A416/(A414*(1-A415/A414-A417))</f>
        <v>7861.2716763005792</v>
      </c>
      <c r="F414" s="2" t="s">
        <v>201</v>
      </c>
    </row>
    <row r="415" spans="1:8" x14ac:dyDescent="0.35">
      <c r="A415" s="20">
        <f ca="1">ROUND((A414-5)*MIN(vMask20,1/vMask20),0)</f>
        <v>16</v>
      </c>
      <c r="B415" s="2" t="s">
        <v>1386</v>
      </c>
      <c r="E415" s="10">
        <f ca="1">E414*A414</f>
        <v>196531.79190751447</v>
      </c>
      <c r="F415" s="2" t="s">
        <v>1518</v>
      </c>
    </row>
    <row r="416" spans="1:8" x14ac:dyDescent="0.35">
      <c r="A416" s="20">
        <f ca="1">RANDBETWEEN(5,10)*4250</f>
        <v>34000</v>
      </c>
      <c r="B416" s="2" t="s">
        <v>1377</v>
      </c>
      <c r="E416" s="234"/>
    </row>
    <row r="417" spans="1:8" x14ac:dyDescent="0.35">
      <c r="A417" s="7">
        <f ca="1">ROUND(E417*RANDBETWEEN(50,90)/100,3)</f>
        <v>0.187</v>
      </c>
      <c r="B417" s="2" t="s">
        <v>96</v>
      </c>
      <c r="E417" s="23">
        <f ca="1">1-A415/A414</f>
        <v>0.36</v>
      </c>
    </row>
    <row r="418" spans="1:8" ht="16" thickBot="1" x14ac:dyDescent="0.4">
      <c r="B418" s="88" t="s">
        <v>1519</v>
      </c>
      <c r="F418" s="88" t="s">
        <v>1520</v>
      </c>
    </row>
    <row r="419" spans="1:8" ht="16.5" thickTop="1" thickBot="1" x14ac:dyDescent="0.4">
      <c r="B419" s="76" t="str">
        <f ca="1">[1]!std_ans($C$419)</f>
        <v>A</v>
      </c>
      <c r="C419" s="79" t="str">
        <f ca="1" xml:space="preserve"> "/\" &amp;RANDBETWEEN( 1,120) &amp; "/\" &amp;RANDBETWEEN( 1,120) &amp; "/\" &amp;0.1 &amp; "/\" &amp; E414</f>
        <v>/\4/\73/\0.1/\7861.27167630058</v>
      </c>
      <c r="D419" s="80" t="s">
        <v>97</v>
      </c>
      <c r="F419" s="76" t="str">
        <f ca="1">[1]!std_ans($G$419)</f>
        <v>C</v>
      </c>
      <c r="G419" s="79" t="str">
        <f ca="1" xml:space="preserve"> "/\" &amp;RANDBETWEEN( 1,120) &amp; "/\" &amp;RANDBETWEEN( 1,120) &amp; "/\" &amp;0.1 &amp; "/\" &amp; E415</f>
        <v>/\104/\69/\0.1/\196531.791907514</v>
      </c>
      <c r="H419" s="80" t="s">
        <v>1521</v>
      </c>
    </row>
    <row r="420" spans="1:8" ht="16" thickTop="1" x14ac:dyDescent="0.35">
      <c r="B420" s="74">
        <f ca="1">[1]!stdnum_A($C$419)</f>
        <v>7861.2716763005801</v>
      </c>
      <c r="C420" s="82"/>
      <c r="D420" s="77"/>
      <c r="F420" s="101">
        <f ca="1">[1]!stdnum_A($G$419)</f>
        <v>216184.97109826544</v>
      </c>
      <c r="G420" s="82"/>
      <c r="H420" s="77"/>
    </row>
    <row r="421" spans="1:8" x14ac:dyDescent="0.35">
      <c r="B421" s="74">
        <f ca="1">[1]!stdnum_B($C$419)</f>
        <v>5906.2897643129809</v>
      </c>
      <c r="C421" s="82"/>
      <c r="D421" s="77"/>
      <c r="F421" s="101">
        <f ca="1">[1]!stdnum_B($G$419)</f>
        <v>237803.46820809197</v>
      </c>
      <c r="G421" s="82"/>
      <c r="H421" s="77"/>
    </row>
    <row r="422" spans="1:8" x14ac:dyDescent="0.35">
      <c r="B422" s="74">
        <f ca="1">[1]!stdnum_C($C$419)</f>
        <v>7146.6106148187091</v>
      </c>
      <c r="C422" s="82"/>
      <c r="D422" s="77"/>
      <c r="F422" s="101">
        <f ca="1">[1]!stdnum_C($G$419)</f>
        <v>196531.79190751401</v>
      </c>
      <c r="G422" s="82"/>
      <c r="H422" s="77"/>
    </row>
    <row r="423" spans="1:8" x14ac:dyDescent="0.35">
      <c r="B423" s="74">
        <f ca="1">[1]!stdnum_D($C$419)</f>
        <v>8647.3988439306395</v>
      </c>
      <c r="C423" s="82"/>
      <c r="D423" s="77"/>
      <c r="F423" s="101">
        <f ca="1">[1]!stdnum_D($G$419)</f>
        <v>162422.96851860659</v>
      </c>
      <c r="G423" s="82"/>
      <c r="H423" s="77"/>
    </row>
    <row r="424" spans="1:8" ht="16" thickBot="1" x14ac:dyDescent="0.4">
      <c r="B424" s="75">
        <f ca="1">[1]!stdnum_E($C$419)</f>
        <v>6496.9187407442805</v>
      </c>
      <c r="C424" s="84"/>
      <c r="D424" s="78"/>
      <c r="F424" s="102">
        <f ca="1">[1]!stdnum_E($G$419)</f>
        <v>178665.26537046727</v>
      </c>
      <c r="G424" s="84"/>
      <c r="H424" s="78"/>
    </row>
    <row r="425" spans="1:8" ht="16" thickTop="1" x14ac:dyDescent="0.35"/>
    <row r="427" spans="1:8" x14ac:dyDescent="0.35">
      <c r="A427" s="120" t="s">
        <v>2772</v>
      </c>
    </row>
    <row r="428" spans="1:8" x14ac:dyDescent="0.35">
      <c r="A428" s="20">
        <f ca="1">A429+A430+RANDBETWEEN(5,10)*505</f>
        <v>67625</v>
      </c>
      <c r="B428" s="2" t="s">
        <v>2771</v>
      </c>
    </row>
    <row r="429" spans="1:8" x14ac:dyDescent="0.35">
      <c r="A429" s="20">
        <f ca="1">RANDBETWEEN(5,10)*5050</f>
        <v>35350</v>
      </c>
      <c r="B429" s="2" t="s">
        <v>3104</v>
      </c>
    </row>
    <row r="430" spans="1:8" x14ac:dyDescent="0.35">
      <c r="A430" s="20">
        <f ca="1">RANDBETWEEN(5,10)*4250</f>
        <v>29750</v>
      </c>
      <c r="B430" s="2" t="s">
        <v>1377</v>
      </c>
      <c r="E430" s="234">
        <f ca="1">A430/(1-A429/A428)</f>
        <v>62334.430673896204</v>
      </c>
      <c r="F430" s="2" t="s">
        <v>2773</v>
      </c>
    </row>
    <row r="431" spans="1:8" x14ac:dyDescent="0.35">
      <c r="A431" s="20">
        <f ca="1">RANDBETWEEN(5,10)*1050</f>
        <v>10500</v>
      </c>
      <c r="B431" s="2" t="s">
        <v>200</v>
      </c>
      <c r="E431" s="234">
        <f ca="1">(A431+A430)/(1-A429/A428)</f>
        <v>84334.817970565447</v>
      </c>
      <c r="F431" s="2" t="s">
        <v>2774</v>
      </c>
    </row>
    <row r="432" spans="1:8" ht="16" thickBot="1" x14ac:dyDescent="0.4">
      <c r="B432" s="120" t="s">
        <v>2776</v>
      </c>
      <c r="F432" s="120" t="s">
        <v>2778</v>
      </c>
    </row>
    <row r="433" spans="1:8" ht="16.5" thickTop="1" thickBot="1" x14ac:dyDescent="0.4">
      <c r="B433" s="76" t="str">
        <f ca="1">[1]!std_ans($C$433)</f>
        <v>D</v>
      </c>
      <c r="C433" s="79" t="str">
        <f ca="1" xml:space="preserve"> "/\" &amp;RANDBETWEEN( 1,120) &amp; "/\" &amp;RANDBETWEEN( 1,120) &amp; "/\" &amp;0.1 &amp; "/\" &amp; E430</f>
        <v>/\71/\7/\0.1/\62334.4306738962</v>
      </c>
      <c r="D433" s="80" t="s">
        <v>2775</v>
      </c>
      <c r="F433" s="76" t="str">
        <f ca="1">[1]!std_ans($G$433)</f>
        <v>C</v>
      </c>
      <c r="G433" s="79" t="str">
        <f ca="1" xml:space="preserve"> "/\" &amp;RANDBETWEEN( 1,120) &amp; "/\" &amp;RANDBETWEEN( 1,120) &amp; "/\" &amp;0.1 &amp; "/\" &amp; E431</f>
        <v>/\55/\50/\0.1/\84334.8179705654</v>
      </c>
      <c r="H433" s="80" t="s">
        <v>2777</v>
      </c>
    </row>
    <row r="434" spans="1:8" ht="16" thickTop="1" x14ac:dyDescent="0.35">
      <c r="B434" s="101">
        <f ca="1">[1]!stdnum_A($C$433)</f>
        <v>68567.873741285817</v>
      </c>
      <c r="C434" s="82"/>
      <c r="D434" s="77"/>
      <c r="F434" s="101">
        <f ca="1">[1]!stdnum_A($G$433)</f>
        <v>76668.016336877641</v>
      </c>
      <c r="G434" s="82"/>
      <c r="H434" s="77"/>
    </row>
    <row r="435" spans="1:8" x14ac:dyDescent="0.35">
      <c r="B435" s="101">
        <f ca="1">[1]!stdnum_B($C$433)</f>
        <v>91263.839949651447</v>
      </c>
      <c r="C435" s="82"/>
      <c r="D435" s="77"/>
      <c r="F435" s="101">
        <f ca="1">[1]!stdnum_B($G$433)</f>
        <v>69698.196669888755</v>
      </c>
      <c r="G435" s="82"/>
      <c r="H435" s="77"/>
    </row>
    <row r="436" spans="1:8" x14ac:dyDescent="0.35">
      <c r="B436" s="101">
        <f ca="1">[1]!stdnum_C($C$433)</f>
        <v>82967.127226955869</v>
      </c>
      <c r="C436" s="82"/>
      <c r="D436" s="77"/>
      <c r="F436" s="101">
        <f ca="1">[1]!stdnum_C($G$433)</f>
        <v>84334.817970565404</v>
      </c>
      <c r="G436" s="82"/>
      <c r="H436" s="77"/>
    </row>
    <row r="437" spans="1:8" x14ac:dyDescent="0.35">
      <c r="B437" s="101">
        <f ca="1">[1]!stdnum_D($C$433)</f>
        <v>62334.430673896197</v>
      </c>
      <c r="C437" s="82"/>
      <c r="D437" s="77"/>
      <c r="F437" s="101">
        <f ca="1">[1]!stdnum_D($G$433)</f>
        <v>102045.12974438416</v>
      </c>
      <c r="G437" s="82"/>
      <c r="H437" s="77"/>
    </row>
    <row r="438" spans="1:8" ht="16" thickBot="1" x14ac:dyDescent="0.4">
      <c r="B438" s="102">
        <f ca="1">[1]!stdnum_E($C$433)</f>
        <v>75424.661115414405</v>
      </c>
      <c r="C438" s="84"/>
      <c r="D438" s="78"/>
      <c r="F438" s="102">
        <f ca="1">[1]!stdnum_E($G$433)</f>
        <v>92768.299767621953</v>
      </c>
      <c r="G438" s="84"/>
      <c r="H438" s="78"/>
    </row>
    <row r="439" spans="1:8" ht="16" thickTop="1" x14ac:dyDescent="0.35"/>
    <row r="441" spans="1:8" x14ac:dyDescent="0.35">
      <c r="A441" s="120" t="s">
        <v>1514</v>
      </c>
    </row>
    <row r="442" spans="1:8" x14ac:dyDescent="0.35">
      <c r="A442" s="20">
        <f ca="1">A443+A444+RANDBETWEEN(5,10)*850</f>
        <v>82800</v>
      </c>
      <c r="B442" s="2" t="s">
        <v>2771</v>
      </c>
      <c r="E442" s="234">
        <f ca="1">A444/(1-A443/A442)</f>
        <v>65368.421052631587</v>
      </c>
      <c r="F442" s="2" t="s">
        <v>2773</v>
      </c>
    </row>
    <row r="443" spans="1:8" x14ac:dyDescent="0.35">
      <c r="A443" s="20">
        <f ca="1">RANDBETWEEN(5,10)*5050</f>
        <v>50500</v>
      </c>
      <c r="B443" s="2" t="s">
        <v>3104</v>
      </c>
      <c r="E443" s="7">
        <f ca="1">E442/A442-1</f>
        <v>-0.21052631578947356</v>
      </c>
      <c r="F443" s="2" t="s">
        <v>1515</v>
      </c>
    </row>
    <row r="444" spans="1:8" x14ac:dyDescent="0.35">
      <c r="A444" s="20">
        <f ca="1">RANDBETWEEN(5,10)*4250</f>
        <v>25500</v>
      </c>
      <c r="B444" s="2" t="s">
        <v>1377</v>
      </c>
    </row>
    <row r="445" spans="1:8" ht="16" thickBot="1" x14ac:dyDescent="0.4"/>
    <row r="446" spans="1:8" ht="16.5" thickTop="1" thickBot="1" x14ac:dyDescent="0.4">
      <c r="B446" s="76" t="str">
        <f ca="1">[1]!std_ans($C$446)</f>
        <v>E</v>
      </c>
      <c r="C446" s="79" t="str">
        <f ca="1" xml:space="preserve"> "/\" &amp;RANDBETWEEN( 1,120) &amp; "/\" &amp;RANDBETWEEN( 1,120) &amp; "/\" &amp;0.1 &amp; "/\" &amp; E443</f>
        <v>/\118/\34/\0.1/\-0.210526315789474</v>
      </c>
      <c r="D446" s="80" t="s">
        <v>1516</v>
      </c>
    </row>
    <row r="447" spans="1:8" ht="16" thickTop="1" x14ac:dyDescent="0.35">
      <c r="B447" s="92">
        <f ca="1">[1]!stdnum_A($C$446)</f>
        <v>-0.19138755980861272</v>
      </c>
      <c r="C447" s="82"/>
      <c r="D447" s="77"/>
    </row>
    <row r="448" spans="1:8" x14ac:dyDescent="0.35">
      <c r="B448" s="92">
        <f ca="1">[1]!stdnum_B($C$446)</f>
        <v>-0.28021052631578997</v>
      </c>
      <c r="C448" s="82"/>
      <c r="D448" s="77"/>
    </row>
    <row r="449" spans="1:10" x14ac:dyDescent="0.35">
      <c r="B449" s="92">
        <f ca="1">[1]!stdnum_C($C$446)</f>
        <v>-0.23157894736842141</v>
      </c>
      <c r="C449" s="82"/>
      <c r="D449" s="77"/>
    </row>
    <row r="450" spans="1:10" x14ac:dyDescent="0.35">
      <c r="B450" s="92">
        <f ca="1">[1]!stdnum_D($C$446)</f>
        <v>-0.25473684210526359</v>
      </c>
      <c r="C450" s="82"/>
      <c r="D450" s="77"/>
    </row>
    <row r="451" spans="1:10" ht="16" thickBot="1" x14ac:dyDescent="0.4">
      <c r="B451" s="93">
        <f ca="1">[1]!stdnum_E($C$446)</f>
        <v>-0.21052631578947401</v>
      </c>
      <c r="C451" s="84"/>
      <c r="D451" s="78"/>
    </row>
    <row r="452" spans="1:10" ht="16" thickTop="1" x14ac:dyDescent="0.35"/>
    <row r="454" spans="1:10" x14ac:dyDescent="0.35">
      <c r="A454" s="88" t="s">
        <v>1522</v>
      </c>
    </row>
    <row r="455" spans="1:10" x14ac:dyDescent="0.35">
      <c r="A455" s="20">
        <f ca="1">A456+A457+RANDBETWEEN(5,10)*1850</f>
        <v>92900</v>
      </c>
      <c r="B455" s="2" t="s">
        <v>181</v>
      </c>
      <c r="E455" s="23">
        <f ca="1">RANDBETWEEN(5,7)*5/100</f>
        <v>0.25</v>
      </c>
      <c r="F455" s="2" t="s">
        <v>1038</v>
      </c>
    </row>
    <row r="456" spans="1:10" x14ac:dyDescent="0.35">
      <c r="A456" s="20">
        <f ca="1">RANDBETWEEN(5,10)*5050</f>
        <v>40400</v>
      </c>
      <c r="B456" s="2" t="s">
        <v>3104</v>
      </c>
      <c r="E456" s="233">
        <f ca="1">A456/A455</f>
        <v>0.43487621097954793</v>
      </c>
      <c r="F456" s="2" t="s">
        <v>3105</v>
      </c>
    </row>
    <row r="457" spans="1:10" x14ac:dyDescent="0.35">
      <c r="A457" s="20">
        <f ca="1">RANDBETWEEN(5,10)*4250</f>
        <v>34000</v>
      </c>
      <c r="B457" s="2" t="s">
        <v>1377</v>
      </c>
      <c r="E457" s="20">
        <f ca="1">A457/(1-E456)</f>
        <v>60163.809523809519</v>
      </c>
      <c r="F457" s="2" t="s">
        <v>1378</v>
      </c>
    </row>
    <row r="458" spans="1:10" x14ac:dyDescent="0.35">
      <c r="A458" s="234">
        <f ca="1">A455-A456-A457</f>
        <v>18500</v>
      </c>
      <c r="B458" s="2" t="s">
        <v>1379</v>
      </c>
      <c r="E458" s="20">
        <f ca="1">(A457+A459+A461/(1-E455))/(1-E456)</f>
        <v>66489.857142857145</v>
      </c>
      <c r="F458" s="2" t="s">
        <v>1383</v>
      </c>
    </row>
    <row r="459" spans="1:10" x14ac:dyDescent="0.35">
      <c r="A459" s="20">
        <f ca="1">RANDBETWEEN(5,10)*425</f>
        <v>2975</v>
      </c>
      <c r="B459" s="2" t="s">
        <v>1380</v>
      </c>
      <c r="E459" s="20">
        <f ca="1">E458*(1-E456)-A457</f>
        <v>3575</v>
      </c>
      <c r="F459" s="2" t="s">
        <v>112</v>
      </c>
    </row>
    <row r="460" spans="1:10" x14ac:dyDescent="0.35">
      <c r="A460" s="234">
        <f ca="1">(A458-A459)*E455</f>
        <v>3881.25</v>
      </c>
      <c r="B460" s="2" t="s">
        <v>1381</v>
      </c>
      <c r="E460" s="115"/>
    </row>
    <row r="461" spans="1:10" x14ac:dyDescent="0.35">
      <c r="A461" s="20">
        <f ca="1">RANDBETWEEN(5,10)*50</f>
        <v>450</v>
      </c>
      <c r="B461" s="2" t="s">
        <v>1382</v>
      </c>
    </row>
    <row r="462" spans="1:10" x14ac:dyDescent="0.35">
      <c r="A462" s="20">
        <f ca="1">A458-A459-A460-A461</f>
        <v>11193.75</v>
      </c>
      <c r="B462" s="2" t="s">
        <v>1384</v>
      </c>
    </row>
    <row r="463" spans="1:10" ht="16" thickBot="1" x14ac:dyDescent="0.4">
      <c r="F463" s="88" t="s">
        <v>111</v>
      </c>
    </row>
    <row r="464" spans="1:10" ht="16.5" thickTop="1" thickBot="1" x14ac:dyDescent="0.4">
      <c r="B464" s="88" t="s">
        <v>109</v>
      </c>
      <c r="F464" s="76" t="str">
        <f ca="1">[1]!alpha_ans($G$464)</f>
        <v>A</v>
      </c>
      <c r="G464" s="79" t="str">
        <f ca="1" xml:space="preserve"> "/\" &amp;RANDBETWEEN( 1,5) &amp; "/\" &amp;RANDBETWEEN( 1,120) &amp; "/\" &amp;RANDBETWEEN( 1,6) &amp; "/\" &amp;RANDBETWEEN( 1,2) &amp; "/\" &amp; E458 &amp; "/\" &amp; "Mask" &amp; "/\" &amp; "Mask" &amp; "/\" &amp; E459 &amp; "/\" &amp; "Mask"</f>
        <v>/\1/\5/\5/\2/\66489.8571428571/\Mask/\Mask/\3575/\Mask</v>
      </c>
      <c r="H464" s="80" t="s">
        <v>110</v>
      </c>
      <c r="J464" s="88" t="s">
        <v>113</v>
      </c>
    </row>
    <row r="465" spans="1:12" ht="16.5" thickTop="1" thickBot="1" x14ac:dyDescent="0.4">
      <c r="B465" s="76" t="str">
        <f ca="1">[1]!std_ans($C$465)</f>
        <v>A</v>
      </c>
      <c r="C465" s="79" t="str">
        <f ca="1" xml:space="preserve"> "/\" &amp;RANDBETWEEN( 1,120) &amp; "/\" &amp;RANDBETWEEN( 1,120) &amp; "/\" &amp;0.1 &amp; "/\" &amp; E458</f>
        <v>/\14/\109/\0.1/\66489.8571428571</v>
      </c>
      <c r="D465" s="80" t="s">
        <v>1523</v>
      </c>
      <c r="F465" s="101">
        <f ca="1">[1]!onepair_A($G$464)</f>
        <v>66489.857142857101</v>
      </c>
      <c r="G465" s="142">
        <f ca="1">[1]!onepair_A2($G$464)</f>
        <v>3575</v>
      </c>
      <c r="H465" s="77"/>
      <c r="J465" s="76" t="str">
        <f ca="1">[1]!alpha_ans($K$465)</f>
        <v>E</v>
      </c>
      <c r="K465" s="79" t="str">
        <f ca="1" xml:space="preserve"> "/\" &amp;RANDBETWEEN( 1,5) &amp; "/\" &amp;RANDBETWEEN( 1,120) &amp; "/\" &amp;RANDBETWEEN( 1,6) &amp; "/\" &amp;RANDBETWEEN( 1,2) &amp; "/\" &amp; E458 &amp; "/\" &amp; "Mask" &amp; "/\" &amp; "Mask" &amp; "/\" &amp; E457 &amp; "/\" &amp; "Mask"</f>
        <v>/\5/\80/\6/\2/\66489.8571428571/\Mask/\Mask/\60163.8095238095/\Mask</v>
      </c>
      <c r="L465" s="80" t="s">
        <v>114</v>
      </c>
    </row>
    <row r="466" spans="1:12" ht="16" thickTop="1" x14ac:dyDescent="0.35">
      <c r="B466" s="101">
        <f ca="1">[1]!stdnum_A($C$465)</f>
        <v>66489.857142857101</v>
      </c>
      <c r="C466" s="82"/>
      <c r="D466" s="77"/>
      <c r="F466" s="101">
        <f ca="1">[1]!onepair_B($G$464)</f>
        <v>50275.884418039401</v>
      </c>
      <c r="G466" s="142">
        <f ca="1">[1]!onepair_B2($G$464)</f>
        <v>3575</v>
      </c>
      <c r="H466" s="77"/>
      <c r="J466" s="101">
        <f ca="1">[1]!onepair_A($K$465)</f>
        <v>50275.884418039401</v>
      </c>
      <c r="K466" s="142">
        <f ca="1">[1]!onepair_A2($K$465)</f>
        <v>60163.809523809497</v>
      </c>
      <c r="L466" s="77"/>
    </row>
    <row r="467" spans="1:12" x14ac:dyDescent="0.35">
      <c r="B467" s="101">
        <f ca="1">[1]!stdnum_B($C$465)</f>
        <v>49954.813781260018</v>
      </c>
      <c r="C467" s="82"/>
      <c r="D467" s="77"/>
      <c r="F467" s="101">
        <f ca="1">[1]!onepair_C($G$464)</f>
        <v>57817.267080745303</v>
      </c>
      <c r="G467" s="142">
        <f ca="1">[1]!onepair_C2($G$464)</f>
        <v>4111.25</v>
      </c>
      <c r="H467" s="77"/>
      <c r="J467" s="101">
        <f ca="1">[1]!onepair_B($K$465)</f>
        <v>57817.267080745303</v>
      </c>
      <c r="K467" s="142">
        <f ca="1">[1]!onepair_B2($K$465)</f>
        <v>60163.809523809497</v>
      </c>
      <c r="L467" s="77"/>
    </row>
    <row r="468" spans="1:12" x14ac:dyDescent="0.35">
      <c r="B468" s="101">
        <f ca="1">[1]!stdnum_C($C$465)</f>
        <v>54950.295159386027</v>
      </c>
      <c r="C468" s="82"/>
      <c r="D468" s="77"/>
      <c r="F468" s="101">
        <f ca="1">[1]!onepair_D($G$464)</f>
        <v>50275.884418039401</v>
      </c>
      <c r="G468" s="142">
        <f ca="1">[1]!onepair_D2($G$464)</f>
        <v>4111.25</v>
      </c>
      <c r="H468" s="77"/>
      <c r="J468" s="101">
        <f ca="1">[1]!onepair_C($K$465)</f>
        <v>66489.857142857101</v>
      </c>
      <c r="K468" s="142">
        <f ca="1">[1]!onepair_C2($K$465)</f>
        <v>69188.380952380903</v>
      </c>
      <c r="L468" s="77"/>
    </row>
    <row r="469" spans="1:12" ht="16" thickBot="1" x14ac:dyDescent="0.4">
      <c r="B469" s="101">
        <f ca="1">[1]!stdnum_D($C$465)</f>
        <v>60445.324675324635</v>
      </c>
      <c r="C469" s="82"/>
      <c r="D469" s="77"/>
      <c r="F469" s="102">
        <f ca="1">[1]!onepair_E($G$464)</f>
        <v>57817.267080745303</v>
      </c>
      <c r="G469" s="320">
        <f ca="1">[1]!onepair_E2($G$464)</f>
        <v>3575</v>
      </c>
      <c r="H469" s="78"/>
      <c r="J469" s="101">
        <f ca="1">[1]!onepair_D($K$465)</f>
        <v>50275.884418039401</v>
      </c>
      <c r="K469" s="142">
        <f ca="1">[1]!onepair_D2($K$465)</f>
        <v>69188.380952380903</v>
      </c>
      <c r="L469" s="77"/>
    </row>
    <row r="470" spans="1:12" ht="16.5" thickTop="1" thickBot="1" x14ac:dyDescent="0.4">
      <c r="B470" s="102">
        <f ca="1">[1]!stdnum_E($C$465)</f>
        <v>45413.467073872744</v>
      </c>
      <c r="C470" s="84"/>
      <c r="D470" s="78"/>
      <c r="J470" s="102">
        <f ca="1">[1]!onepair_E($K$465)</f>
        <v>66489.857142857101</v>
      </c>
      <c r="K470" s="320">
        <f ca="1">[1]!onepair_E2($K$465)</f>
        <v>60163.809523809497</v>
      </c>
      <c r="L470" s="78"/>
    </row>
    <row r="471" spans="1:12" ht="16" thickTop="1" x14ac:dyDescent="0.35"/>
    <row r="473" spans="1:12" x14ac:dyDescent="0.35">
      <c r="A473" s="88" t="s">
        <v>1246</v>
      </c>
    </row>
    <row r="474" spans="1:12" x14ac:dyDescent="0.35">
      <c r="A474" s="20">
        <f ca="1">A475+A476+RANDBETWEEN(5,10)*1850</f>
        <v>71650</v>
      </c>
      <c r="B474" s="2" t="s">
        <v>181</v>
      </c>
      <c r="E474" s="23">
        <f ca="1">RANDBETWEEN(5,7)*5/100</f>
        <v>0.25</v>
      </c>
      <c r="F474" s="2" t="s">
        <v>1038</v>
      </c>
    </row>
    <row r="475" spans="1:12" x14ac:dyDescent="0.35">
      <c r="A475" s="20">
        <f ca="1">RANDBETWEEN(5,10)*5050</f>
        <v>25250</v>
      </c>
      <c r="B475" s="2" t="s">
        <v>3104</v>
      </c>
      <c r="E475" s="233">
        <f ca="1">A475/A474</f>
        <v>0.3524075366364271</v>
      </c>
      <c r="F475" s="2" t="s">
        <v>3105</v>
      </c>
    </row>
    <row r="476" spans="1:12" x14ac:dyDescent="0.35">
      <c r="A476" s="20">
        <f ca="1">RANDBETWEEN(5,10)*4250</f>
        <v>29750</v>
      </c>
      <c r="B476" s="2" t="s">
        <v>1377</v>
      </c>
      <c r="E476" s="20">
        <f ca="1">E477*(1-E475)-A476</f>
        <v>20466.666666666679</v>
      </c>
      <c r="F476" s="2" t="s">
        <v>1249</v>
      </c>
    </row>
    <row r="477" spans="1:12" x14ac:dyDescent="0.35">
      <c r="A477" s="234">
        <f ca="1">A474-A475-A476</f>
        <v>16650</v>
      </c>
      <c r="B477" s="2" t="s">
        <v>1379</v>
      </c>
      <c r="E477" s="20">
        <f ca="1">(A476+A478+(A480+A481)/(1-E474))/(1-E475)</f>
        <v>77543.624281609213</v>
      </c>
      <c r="F477" s="2" t="s">
        <v>1248</v>
      </c>
    </row>
    <row r="478" spans="1:12" x14ac:dyDescent="0.35">
      <c r="A478" s="20">
        <f ca="1">RANDBETWEEN(5,10)*425</f>
        <v>3400</v>
      </c>
      <c r="B478" s="2" t="s">
        <v>1380</v>
      </c>
      <c r="E478" s="20"/>
    </row>
    <row r="479" spans="1:12" x14ac:dyDescent="0.35">
      <c r="A479" s="234">
        <f ca="1">(A477-A478)*E474</f>
        <v>3312.5</v>
      </c>
      <c r="B479" s="2" t="s">
        <v>1381</v>
      </c>
      <c r="E479" s="115"/>
    </row>
    <row r="480" spans="1:12" x14ac:dyDescent="0.35">
      <c r="A480" s="20">
        <f ca="1">RANDBETWEEN(5,10)*50</f>
        <v>500</v>
      </c>
      <c r="B480" s="2" t="s">
        <v>1382</v>
      </c>
    </row>
    <row r="481" spans="1:11" x14ac:dyDescent="0.35">
      <c r="A481" s="20">
        <f ca="1">MROUND(C481*1.3,100)</f>
        <v>12300</v>
      </c>
      <c r="B481" s="2" t="s">
        <v>1247</v>
      </c>
      <c r="C481" s="10">
        <f ca="1">A477-A478-A479-A480</f>
        <v>9437.5</v>
      </c>
    </row>
    <row r="482" spans="1:11" ht="16" thickBot="1" x14ac:dyDescent="0.4"/>
    <row r="483" spans="1:11" ht="16.5" thickTop="1" thickBot="1" x14ac:dyDescent="0.4">
      <c r="B483" s="76" t="str">
        <f ca="1">[1]!std_ans($C$483)</f>
        <v>C</v>
      </c>
      <c r="C483" s="79" t="str">
        <f ca="1" xml:space="preserve"> "/\" &amp;RANDBETWEEN( 1,120) &amp; "/\" &amp;RANDBETWEEN( 1,120) &amp; "/\" &amp;0.1 &amp; "/\" &amp; E477</f>
        <v>/\116/\64/\0.1/\77543.6242816092</v>
      </c>
      <c r="D483" s="80" t="s">
        <v>1250</v>
      </c>
    </row>
    <row r="484" spans="1:11" ht="16" thickTop="1" x14ac:dyDescent="0.35">
      <c r="B484" s="101">
        <f ca="1">[1]!stdnum_A($C$483)</f>
        <v>64085.639902156356</v>
      </c>
      <c r="C484" s="82"/>
      <c r="D484" s="77"/>
    </row>
    <row r="485" spans="1:11" x14ac:dyDescent="0.35">
      <c r="B485" s="101">
        <f ca="1">[1]!stdnum_B($C$483)</f>
        <v>93827.78538074714</v>
      </c>
      <c r="C485" s="82"/>
      <c r="D485" s="77"/>
    </row>
    <row r="486" spans="1:11" x14ac:dyDescent="0.35">
      <c r="B486" s="101">
        <f ca="1">[1]!stdnum_C($C$483)</f>
        <v>77543.624281609198</v>
      </c>
      <c r="C486" s="82"/>
      <c r="D486" s="77"/>
    </row>
    <row r="487" spans="1:11" x14ac:dyDescent="0.35">
      <c r="B487" s="101">
        <f ca="1">[1]!stdnum_D($C$483)</f>
        <v>70494.203892371996</v>
      </c>
      <c r="C487" s="82"/>
      <c r="D487" s="77"/>
    </row>
    <row r="488" spans="1:11" ht="16" thickBot="1" x14ac:dyDescent="0.4">
      <c r="B488" s="102">
        <f ca="1">[1]!stdnum_E($C$483)</f>
        <v>85297.986709770121</v>
      </c>
      <c r="C488" s="84"/>
      <c r="D488" s="78"/>
    </row>
    <row r="489" spans="1:11" ht="16" thickTop="1" x14ac:dyDescent="0.35"/>
    <row r="491" spans="1:11" x14ac:dyDescent="0.35">
      <c r="A491" s="88" t="s">
        <v>797</v>
      </c>
    </row>
    <row r="492" spans="1:11" x14ac:dyDescent="0.35">
      <c r="A492" s="20">
        <f ca="1">A493+A494+RANDBETWEEN(5,10)*1875</f>
        <v>80725</v>
      </c>
      <c r="B492" s="2" t="s">
        <v>181</v>
      </c>
      <c r="E492" s="23">
        <f ca="1">RANDBETWEEN(5,7)*5/100</f>
        <v>0.3</v>
      </c>
      <c r="F492" s="2" t="s">
        <v>1038</v>
      </c>
      <c r="J492" s="100"/>
      <c r="K492" s="100"/>
    </row>
    <row r="493" spans="1:11" x14ac:dyDescent="0.35">
      <c r="A493" s="20">
        <f ca="1">RANDBETWEEN(5,10)*5075</f>
        <v>25375</v>
      </c>
      <c r="B493" s="2" t="s">
        <v>3104</v>
      </c>
      <c r="E493" s="233">
        <f ca="1">A493/A492</f>
        <v>0.31433880458346236</v>
      </c>
      <c r="F493" s="2" t="s">
        <v>3105</v>
      </c>
    </row>
    <row r="494" spans="1:11" x14ac:dyDescent="0.35">
      <c r="A494" s="20">
        <f ca="1">RANDBETWEEN(5,10)*4275</f>
        <v>38475</v>
      </c>
      <c r="B494" s="2" t="s">
        <v>1377</v>
      </c>
      <c r="E494" s="7">
        <f ca="1">ROUND(A500+H494,2)</f>
        <v>0.24</v>
      </c>
      <c r="F494" s="2" t="s">
        <v>2852</v>
      </c>
      <c r="H494" s="2">
        <f ca="1">RANDBETWEEN(40,90)/1000</f>
        <v>6.6000000000000003E-2</v>
      </c>
    </row>
    <row r="495" spans="1:11" x14ac:dyDescent="0.35">
      <c r="A495" s="234">
        <f ca="1">A492-A493-A494</f>
        <v>16875</v>
      </c>
      <c r="B495" s="2" t="s">
        <v>1379</v>
      </c>
      <c r="E495" s="20">
        <f ca="1">(A494+A496+(A498+E497)/(1-E492))/(1-E493)</f>
        <v>87786.174040579353</v>
      </c>
      <c r="F495" s="2" t="s">
        <v>1248</v>
      </c>
    </row>
    <row r="496" spans="1:11" x14ac:dyDescent="0.35">
      <c r="A496" s="20">
        <f ca="1">RANDBETWEEN(5,10)*425</f>
        <v>2975</v>
      </c>
      <c r="B496" s="2" t="s">
        <v>1380</v>
      </c>
      <c r="E496" s="20">
        <f ca="1">A499/A500</f>
        <v>54662.921348314609</v>
      </c>
      <c r="F496" s="2" t="s">
        <v>2850</v>
      </c>
    </row>
    <row r="497" spans="1:10" x14ac:dyDescent="0.35">
      <c r="A497" s="234">
        <f ca="1">(A495-A496)*E492</f>
        <v>4170</v>
      </c>
      <c r="B497" s="2" t="s">
        <v>1381</v>
      </c>
      <c r="E497" s="20">
        <f ca="1">E496*E494</f>
        <v>13119.101123595505</v>
      </c>
      <c r="F497" s="2" t="s">
        <v>2851</v>
      </c>
    </row>
    <row r="498" spans="1:10" x14ac:dyDescent="0.35">
      <c r="A498" s="20">
        <v>0</v>
      </c>
      <c r="B498" s="2" t="s">
        <v>1382</v>
      </c>
      <c r="E498" s="20">
        <f ca="1">E495*E493</f>
        <v>27594.60100687149</v>
      </c>
      <c r="F498" s="2" t="s">
        <v>2853</v>
      </c>
    </row>
    <row r="499" spans="1:10" x14ac:dyDescent="0.35">
      <c r="A499" s="20">
        <f ca="1">A495-A496-A497-A498</f>
        <v>9730</v>
      </c>
      <c r="B499" s="2" t="s">
        <v>799</v>
      </c>
      <c r="C499" s="10"/>
      <c r="E499" s="7">
        <f ca="1">A499/A492</f>
        <v>0.12053267265407247</v>
      </c>
      <c r="F499" s="2" t="s">
        <v>2854</v>
      </c>
    </row>
    <row r="500" spans="1:10" x14ac:dyDescent="0.35">
      <c r="A500" s="7">
        <f ca="1">RANDBETWEEN(120,180)/1000</f>
        <v>0.17799999999999999</v>
      </c>
      <c r="B500" s="2" t="s">
        <v>798</v>
      </c>
      <c r="C500" s="10"/>
      <c r="E500" s="7">
        <f ca="1">E497/E495</f>
        <v>0.14944381922295841</v>
      </c>
      <c r="F500" s="2" t="s">
        <v>1625</v>
      </c>
      <c r="H500" s="244">
        <f ca="1">E500-E499</f>
        <v>2.8911146568885937E-2</v>
      </c>
    </row>
    <row r="502" spans="1:10" ht="16" thickBot="1" x14ac:dyDescent="0.4">
      <c r="B502" s="88" t="s">
        <v>1627</v>
      </c>
      <c r="F502" s="88" t="s">
        <v>1629</v>
      </c>
    </row>
    <row r="503" spans="1:10" ht="16.5" thickTop="1" thickBot="1" x14ac:dyDescent="0.4">
      <c r="B503" s="76" t="str">
        <f ca="1">[1]!std_ans($C$503)</f>
        <v>E</v>
      </c>
      <c r="C503" s="79" t="str">
        <f ca="1" xml:space="preserve"> "/\" &amp;RANDBETWEEN( 1,120) &amp; "/\" &amp;RANDBETWEEN( 1,120) &amp; "/\" &amp;0.1 &amp; "/\" &amp; E495</f>
        <v>/\58/\108/\0.1/\87786.1740405794</v>
      </c>
      <c r="D503" s="80" t="s">
        <v>1626</v>
      </c>
      <c r="F503" s="76" t="str">
        <f ca="1">[1]!alpha_ans($G$503)</f>
        <v>A</v>
      </c>
      <c r="G503" s="79" t="str">
        <f ca="1" xml:space="preserve"> "/\" &amp;RANDBETWEEN( 1,5) &amp; "/\" &amp;RANDBETWEEN( 1,120) &amp; "/\" &amp;RANDBETWEEN( 1,6) &amp; "/\" &amp;RANDBETWEEN( 1,2) &amp; "/\" &amp; E495 &amp; "/\" &amp; "Mask" &amp; "/\" &amp; "Mask" &amp; "/\" &amp; E500 &amp; "/\" &amp; "Mask"</f>
        <v>/\1/\57/\6/\2/\87786.1740405794/\Mask/\Mask/\0.149443819222958/\Mask</v>
      </c>
      <c r="H503" s="80" t="s">
        <v>1628</v>
      </c>
    </row>
    <row r="504" spans="1:10" ht="16" thickTop="1" x14ac:dyDescent="0.35">
      <c r="B504" s="101">
        <f ca="1">[1]!stdnum_A($C$503)</f>
        <v>79805.612764163088</v>
      </c>
      <c r="C504" s="82"/>
      <c r="D504" s="77"/>
      <c r="F504" s="101">
        <f ca="1">[1]!onepair_A($G$503)</f>
        <v>87786.174040579397</v>
      </c>
      <c r="G504" s="242">
        <f ca="1">[1]!onepair_A2($G$503)</f>
        <v>0.14944381922295799</v>
      </c>
      <c r="H504" s="77"/>
    </row>
    <row r="505" spans="1:10" x14ac:dyDescent="0.35">
      <c r="B505" s="101">
        <f ca="1">[1]!stdnum_B($C$503)</f>
        <v>65955.051871209143</v>
      </c>
      <c r="C505" s="82"/>
      <c r="D505" s="77"/>
      <c r="F505" s="101">
        <f ca="1">[1]!onepair_B($G$503)</f>
        <v>76335.803513547304</v>
      </c>
      <c r="G505" s="242">
        <f ca="1">[1]!onepair_B2($G$503)</f>
        <v>0.14944381922295799</v>
      </c>
      <c r="H505" s="77"/>
    </row>
    <row r="506" spans="1:10" x14ac:dyDescent="0.35">
      <c r="B506" s="101">
        <f ca="1">[1]!stdnum_C($C$503)</f>
        <v>72550.557058330072</v>
      </c>
      <c r="C506" s="82"/>
      <c r="D506" s="77"/>
      <c r="F506" s="101">
        <f ca="1">[1]!onepair_C($G$503)</f>
        <v>66378.959576997702</v>
      </c>
      <c r="G506" s="242">
        <f ca="1">[1]!onepair_C2($G$503)</f>
        <v>0.14944381922295799</v>
      </c>
      <c r="H506" s="77"/>
    </row>
    <row r="507" spans="1:10" x14ac:dyDescent="0.35">
      <c r="B507" s="101">
        <f ca="1">[1]!stdnum_D($C$503)</f>
        <v>59959.138064735591</v>
      </c>
      <c r="C507" s="82"/>
      <c r="D507" s="77"/>
      <c r="F507" s="101">
        <f ca="1">[1]!onepair_D($G$503)</f>
        <v>87786.174040579397</v>
      </c>
      <c r="G507" s="242">
        <f ca="1">[1]!onepair_D2($G$503)</f>
        <v>0.171860392106402</v>
      </c>
      <c r="H507" s="77"/>
    </row>
    <row r="508" spans="1:10" ht="16" thickBot="1" x14ac:dyDescent="0.4">
      <c r="B508" s="102">
        <f ca="1">[1]!stdnum_E($C$503)</f>
        <v>87786.174040579397</v>
      </c>
      <c r="C508" s="84"/>
      <c r="D508" s="78"/>
      <c r="F508" s="102">
        <f ca="1">[1]!onepair_E($G$503)</f>
        <v>66378.959576997702</v>
      </c>
      <c r="G508" s="299">
        <f ca="1">[1]!onepair_E2($G$503)</f>
        <v>0.171860392106402</v>
      </c>
      <c r="H508" s="78"/>
    </row>
    <row r="509" spans="1:10" ht="16" thickTop="1" x14ac:dyDescent="0.35"/>
    <row r="511" spans="1:10" x14ac:dyDescent="0.35">
      <c r="A511" s="347" t="s">
        <v>3834</v>
      </c>
      <c r="B511" s="103"/>
      <c r="C511" s="103"/>
      <c r="D511" s="103"/>
      <c r="E511" s="103"/>
      <c r="F511" s="103"/>
      <c r="G511" s="103"/>
      <c r="H511" s="103"/>
    </row>
    <row r="512" spans="1:10" x14ac:dyDescent="0.35">
      <c r="A512" s="355"/>
      <c r="B512" s="355" t="s">
        <v>1875</v>
      </c>
      <c r="C512" s="355" t="s">
        <v>2490</v>
      </c>
      <c r="D512" s="355" t="s">
        <v>2491</v>
      </c>
      <c r="E512" s="103"/>
      <c r="F512" s="360" t="b">
        <v>1</v>
      </c>
      <c r="H512" s="103"/>
      <c r="I512" s="359"/>
      <c r="J512" s="360" t="b">
        <v>0</v>
      </c>
    </row>
    <row r="513" spans="1:10" x14ac:dyDescent="0.35">
      <c r="A513" s="355" t="s">
        <v>1872</v>
      </c>
      <c r="B513" s="355">
        <f ca="1">5*RANDBETWEEN(2,6)</f>
        <v>25</v>
      </c>
      <c r="C513" s="355">
        <f ca="1">5*RANDBETWEEN(2,6)</f>
        <v>30</v>
      </c>
      <c r="D513" s="355">
        <f ca="1">5*RANDBETWEEN(2,6)</f>
        <v>10</v>
      </c>
      <c r="E513" s="359" t="s">
        <v>2492</v>
      </c>
      <c r="F513" s="103" t="str">
        <f ca="1">IF(AND(B513&lt;=B514,C513&lt;=C514,D513&gt;=D514),"X dominates Y",IF(AND(B513&gt;=B514,C513&gt;=C514,D513&lt;=D514), "Y dominates X", "X and Y coexist as tradeoffs"))</f>
        <v>Y dominates X</v>
      </c>
      <c r="H513" s="103"/>
      <c r="I513" s="359" t="s">
        <v>2492</v>
      </c>
      <c r="J513" s="103" t="str">
        <f ca="1">IF(AND(B513&lt;=B514,C513&lt;=C514,D513&gt;=D514),"Y dominates X",IF(AND(B513&gt;=B514,C513&gt;=C514,D513&lt;=D514),  "X and Y coexist as tradeoffs","Y dominates X"))</f>
        <v>X and Y coexist as tradeoffs</v>
      </c>
    </row>
    <row r="514" spans="1:10" x14ac:dyDescent="0.35">
      <c r="A514" s="355" t="s">
        <v>1873</v>
      </c>
      <c r="B514" s="355">
        <f ca="1">5*RANDBETWEEN(2,6)</f>
        <v>20</v>
      </c>
      <c r="C514" s="355">
        <f ca="1">5*RANDBETWEEN(2,6)</f>
        <v>15</v>
      </c>
      <c r="D514" s="355">
        <f ca="1">4*RANDBETWEEN(2,6)+4</f>
        <v>24</v>
      </c>
      <c r="E514" s="359" t="s">
        <v>2493</v>
      </c>
      <c r="F514" s="103" t="str">
        <f ca="1">IF(AND(B514&lt;=B515,C514&lt;=C515,D514&gt;=D515),"Y dominates Z",IF(AND(B514&gt;=B515,C514&gt;=C515,D514&lt;=D515), "Z dominates Y", "Y and Z coexist as tradeoffs"))</f>
        <v>Y and Z coexist as tradeoffs</v>
      </c>
      <c r="H514" s="103"/>
      <c r="I514" s="359" t="s">
        <v>2493</v>
      </c>
      <c r="J514" s="103" t="str">
        <f ca="1">IF(AND(B514&lt;=B515,C514&lt;=C515,D514&gt;=D515),"Z dominates Y",IF(AND(B514&gt;=B515,C514&gt;=C515,D514&lt;=D515),  "Y and Z coexist as tradeoffs","Z dominates Y"))</f>
        <v>Z dominates Y</v>
      </c>
    </row>
    <row r="515" spans="1:10" x14ac:dyDescent="0.35">
      <c r="A515" s="355" t="s">
        <v>1874</v>
      </c>
      <c r="B515" s="355">
        <f ca="1">5*RANDBETWEEN(2,6)</f>
        <v>10</v>
      </c>
      <c r="C515" s="355">
        <f ca="1">5*RANDBETWEEN(2,6)</f>
        <v>20</v>
      </c>
      <c r="D515" s="355">
        <f ca="1">7*RANDBETWEEN(2,6)-8</f>
        <v>27</v>
      </c>
      <c r="E515" s="359" t="s">
        <v>2494</v>
      </c>
      <c r="F515" s="103" t="str">
        <f ca="1">IF(AND(B515&lt;=B513,C515&lt;=C513,D515&gt;=D513),"Z dominates X",IF(AND(B515&gt;=B513,C515&gt;=C513,D515&lt;=D513), "X dominates Z", "X and Z coexist as tradeoffs"))</f>
        <v>Z dominates X</v>
      </c>
      <c r="H515" s="103"/>
      <c r="I515" s="359" t="s">
        <v>2494</v>
      </c>
      <c r="J515" s="103" t="str">
        <f ca="1">IF(AND(B515&lt;=B513,C515&lt;=C513,D515&gt;=D513),"X dominates Z",IF(AND(B515&gt;=B513,C515&gt;=C513,D515&lt;=D513),  "X and Z coexist as tradeoffs","X dominates Z"))</f>
        <v>X dominates Z</v>
      </c>
    </row>
    <row r="516" spans="1:10" ht="16" thickBot="1" x14ac:dyDescent="0.4">
      <c r="A516" s="103"/>
      <c r="B516" s="103"/>
      <c r="C516" s="103"/>
      <c r="D516" s="103"/>
      <c r="E516" s="103"/>
      <c r="F516" s="359"/>
      <c r="G516" s="103"/>
      <c r="H516" s="103"/>
    </row>
    <row r="517" spans="1:10" ht="16.5" thickTop="1" thickBot="1" x14ac:dyDescent="0.4">
      <c r="B517" s="76" t="str">
        <f ca="1">[1]!alpha_ans($C$517)</f>
        <v>A</v>
      </c>
      <c r="C517" s="79" t="str">
        <f ca="1" xml:space="preserve"> "/\" &amp;RANDBETWEEN( 1,5) &amp; "/\" &amp;RANDBETWEEN( 1,3) &amp; "/\" &amp;RANDBETWEEN( 1,2) &amp; "/\" &amp;F513 &amp; "/\" &amp; J513 &amp; "/\" &amp; F514 &amp; "/\" &amp; J514 &amp; "/\" &amp; F515 &amp; "/\" &amp; J515</f>
        <v>/\1/\1/\1/\Y dominates X/\X and Y coexist as tradeoffs/\Y and Z coexist as tradeoffs/\Z dominates Y/\Z dominates X/\X dominates Z</v>
      </c>
      <c r="D517" s="80" t="s">
        <v>3833</v>
      </c>
      <c r="H517" s="103"/>
    </row>
    <row r="518" spans="1:10" ht="16" thickTop="1" x14ac:dyDescent="0.35">
      <c r="B518" s="81" t="str">
        <f ca="1">[1]!complexV_A($C$517)</f>
        <v>Y dominates X</v>
      </c>
      <c r="C518" s="82"/>
      <c r="D518" s="77"/>
      <c r="H518" s="103"/>
    </row>
    <row r="519" spans="1:10" x14ac:dyDescent="0.35">
      <c r="B519" s="81" t="str">
        <f ca="1">[1]!complexV_B($C$517)</f>
        <v>Z dominates Y</v>
      </c>
      <c r="C519" s="82"/>
      <c r="D519" s="77"/>
      <c r="H519" s="103"/>
    </row>
    <row r="520" spans="1:10" x14ac:dyDescent="0.35">
      <c r="B520" s="81" t="str">
        <f ca="1">[1]!complexV_C($C$517)</f>
        <v>X dominates Z</v>
      </c>
      <c r="C520" s="82"/>
      <c r="D520" s="77"/>
      <c r="H520" s="103"/>
    </row>
    <row r="521" spans="1:10" x14ac:dyDescent="0.35">
      <c r="B521" s="81" t="str">
        <f ca="1">[1]!complexV_D($C$517)</f>
        <v>Two choices, A and B, are correct</v>
      </c>
      <c r="C521" s="82"/>
      <c r="D521" s="77"/>
    </row>
    <row r="522" spans="1:10" ht="16" thickBot="1" x14ac:dyDescent="0.4">
      <c r="B522" s="83" t="str">
        <f ca="1">[1]!complexV_E($C$517)</f>
        <v>The three A-B-C choices are all correct</v>
      </c>
      <c r="C522" s="84"/>
      <c r="D522" s="78"/>
    </row>
    <row r="523" spans="1:10" ht="16" thickTop="1" x14ac:dyDescent="0.35"/>
    <row r="525" spans="1:10" x14ac:dyDescent="0.35">
      <c r="A525" s="347" t="s">
        <v>3835</v>
      </c>
      <c r="B525" s="103"/>
      <c r="C525" s="103"/>
      <c r="D525" s="103"/>
      <c r="E525" s="103"/>
      <c r="F525" s="103"/>
      <c r="G525" s="103"/>
      <c r="H525" s="103"/>
    </row>
    <row r="526" spans="1:10" x14ac:dyDescent="0.35">
      <c r="A526" s="355"/>
      <c r="B526" s="355" t="s">
        <v>1875</v>
      </c>
      <c r="C526" s="355" t="s">
        <v>2491</v>
      </c>
      <c r="D526" s="103"/>
      <c r="E526" s="360" t="b">
        <v>1</v>
      </c>
      <c r="G526" s="359"/>
      <c r="H526" s="360" t="b">
        <v>0</v>
      </c>
    </row>
    <row r="527" spans="1:10" x14ac:dyDescent="0.35">
      <c r="A527" s="355" t="s">
        <v>1872</v>
      </c>
      <c r="B527" s="355">
        <f ca="1">5*RANDBETWEEN(2,6)</f>
        <v>30</v>
      </c>
      <c r="C527" s="355">
        <f ca="1">5*RANDBETWEEN(2,6)</f>
        <v>20</v>
      </c>
      <c r="D527" s="359" t="s">
        <v>2492</v>
      </c>
      <c r="E527" s="103" t="str">
        <f ca="1">IF(AND(B527&lt;=B528,C527&gt;=C528),"X dominates Y",IF(AND(B527&gt;=B528,C527&lt;=C528), "Y dominates X", "X and Y coexist as tradeoffs"))</f>
        <v>X and Y coexist as tradeoffs</v>
      </c>
      <c r="G527" s="359" t="s">
        <v>2492</v>
      </c>
      <c r="H527" s="103" t="str">
        <f ca="1">IF(AND(B527&lt;=B528,C527&gt;=C528),"Y dominates X",IF(AND(B527&gt;=B528,C527&lt;=C528),  "X and Y coexist as tradeoffs","Y dominates X"))</f>
        <v>Y dominates X</v>
      </c>
    </row>
    <row r="528" spans="1:10" x14ac:dyDescent="0.35">
      <c r="A528" s="355" t="s">
        <v>1873</v>
      </c>
      <c r="B528" s="355">
        <f ca="1">5*RANDBETWEEN(2,6)</f>
        <v>15</v>
      </c>
      <c r="C528" s="355">
        <f ca="1">4*RANDBETWEEN(2,6)+4</f>
        <v>16</v>
      </c>
      <c r="D528" s="359" t="s">
        <v>2493</v>
      </c>
      <c r="E528" s="103" t="str">
        <f ca="1">IF(AND(B528&lt;=B529,C528&gt;=C529),"Y dominates Z",IF(AND(B528&gt;=B529,C528&lt;=C529), "Z dominates Y", "Y and Z coexist as tradeoffs"))</f>
        <v>Y and Z coexist as tradeoffs</v>
      </c>
      <c r="G528" s="359" t="s">
        <v>2493</v>
      </c>
      <c r="H528" s="103" t="str">
        <f ca="1">IF(AND(B528&lt;=B529,C528&gt;=C529),"Z dominates Y",IF(AND(B528&gt;=B529,C528&lt;=C529),  "Y and Z coexist as tradeoffs","Z dominates Y"))</f>
        <v>Z dominates Y</v>
      </c>
    </row>
    <row r="529" spans="1:12" x14ac:dyDescent="0.35">
      <c r="A529" s="355" t="s">
        <v>1874</v>
      </c>
      <c r="B529" s="355">
        <f ca="1">5*RANDBETWEEN(2,6)</f>
        <v>10</v>
      </c>
      <c r="C529" s="355">
        <f ca="1">7*RANDBETWEEN(2,6)-8</f>
        <v>13</v>
      </c>
      <c r="D529" s="359" t="s">
        <v>2494</v>
      </c>
      <c r="E529" s="103" t="str">
        <f ca="1">IF(AND(B529&lt;=B527,C529&gt;=C527),"Z dominates X",IF(AND(B529&gt;=B527,C529&lt;=C527), "X dominates Z", "X and Z coexist as tradeoffs"))</f>
        <v>X and Z coexist as tradeoffs</v>
      </c>
      <c r="G529" s="359" t="s">
        <v>2494</v>
      </c>
      <c r="H529" s="103" t="str">
        <f ca="1">IF(AND(B529&lt;=B527,C529&gt;=C527),"X dominates Z",IF(AND(B529&gt;=B527,C529&lt;=C527),  "X and Z coexist as tradeoffs","X dominates Z"))</f>
        <v>X dominates Z</v>
      </c>
    </row>
    <row r="530" spans="1:12" ht="16" thickBot="1" x14ac:dyDescent="0.4"/>
    <row r="531" spans="1:12" ht="16.5" thickTop="1" thickBot="1" x14ac:dyDescent="0.4">
      <c r="B531" s="76" t="str">
        <f ca="1">[1]!alpha_ans($C$531)</f>
        <v>E</v>
      </c>
      <c r="C531" s="79" t="str">
        <f ca="1" xml:space="preserve"> "/\" &amp;RANDBETWEEN( 1,5) &amp; "/\" &amp;RANDBETWEEN( 1,3) &amp; "/\" &amp;RANDBETWEEN( 1,2) &amp; "/\" &amp;E527 &amp; "/\" &amp; H527 &amp; "/\" &amp; E528 &amp; "/\" &amp; H528 &amp; "/\" &amp; E529 &amp; "/\" &amp; H529</f>
        <v>/\5/\2/\2/\X and Y coexist as tradeoffs/\Y dominates X/\Y and Z coexist as tradeoffs/\Z dominates Y/\X and Z coexist as tradeoffs/\X dominates Z</v>
      </c>
      <c r="D531" s="80" t="s">
        <v>3836</v>
      </c>
    </row>
    <row r="532" spans="1:12" ht="16" thickTop="1" x14ac:dyDescent="0.35">
      <c r="B532" s="81" t="str">
        <f ca="1">[1]!complexV_A($C$531)</f>
        <v>Y dominates X</v>
      </c>
      <c r="C532" s="82"/>
      <c r="D532" s="77"/>
    </row>
    <row r="533" spans="1:12" x14ac:dyDescent="0.35">
      <c r="B533" s="81" t="str">
        <f ca="1">[1]!complexV_B($C$531)</f>
        <v>Z dominates Y</v>
      </c>
      <c r="C533" s="82"/>
      <c r="D533" s="77"/>
    </row>
    <row r="534" spans="1:12" x14ac:dyDescent="0.35">
      <c r="B534" s="81" t="str">
        <f ca="1">[1]!complexV_C($C$531)</f>
        <v>X dominates Z</v>
      </c>
      <c r="C534" s="82"/>
      <c r="D534" s="77"/>
    </row>
    <row r="535" spans="1:12" x14ac:dyDescent="0.35">
      <c r="B535" s="81" t="str">
        <f ca="1">[1]!complexV_D($C$531)</f>
        <v>Two choices, A and C, are correct</v>
      </c>
      <c r="C535" s="82"/>
      <c r="D535" s="77"/>
    </row>
    <row r="536" spans="1:12" ht="16" thickBot="1" x14ac:dyDescent="0.4">
      <c r="B536" s="83" t="str">
        <f ca="1">[1]!complexV_E($C$531)</f>
        <v>None of the A-B-C choices are correct</v>
      </c>
      <c r="C536" s="84"/>
      <c r="D536" s="78"/>
    </row>
    <row r="537" spans="1:12" ht="16" thickTop="1" x14ac:dyDescent="0.35"/>
    <row r="539" spans="1:12" x14ac:dyDescent="0.35">
      <c r="A539" s="88" t="s">
        <v>3196</v>
      </c>
    </row>
    <row r="540" spans="1:12" x14ac:dyDescent="0.35">
      <c r="F540" s="100" t="s">
        <v>1941</v>
      </c>
      <c r="G540" s="100" t="s">
        <v>3058</v>
      </c>
      <c r="H540" s="103"/>
      <c r="I540" s="360"/>
      <c r="K540" s="359"/>
      <c r="L540" s="360"/>
    </row>
    <row r="541" spans="1:12" x14ac:dyDescent="0.35">
      <c r="A541" s="100" t="s">
        <v>217</v>
      </c>
      <c r="B541" s="7">
        <f ca="1">RANDBETWEEN(0,40)*(IF(RANDBETWEEN(0,1)=0,1,-1))/1000</f>
        <v>-3.3000000000000002E-2</v>
      </c>
      <c r="C541" s="7">
        <f ca="1">RANDBETWEEN(40,120)/1000</f>
        <v>8.3000000000000004E-2</v>
      </c>
      <c r="D541" s="7">
        <f ca="1">RANDBETWEEN(180,260)/1000</f>
        <v>0.249</v>
      </c>
      <c r="E541" s="7">
        <f ca="1">RANDBETWEEN(120,180)/1000</f>
        <v>0.152</v>
      </c>
      <c r="F541" s="159">
        <f ca="1">STDEVP(B541:E541)</f>
        <v>0.10275304131752014</v>
      </c>
      <c r="G541" s="159">
        <f ca="1">AVERAGE(B541:E541)</f>
        <v>0.11274999999999999</v>
      </c>
      <c r="H541" s="359" t="s">
        <v>3197</v>
      </c>
      <c r="I541" s="103" t="str">
        <f ca="1">IF(AND(F541&lt;=F542,G541&gt;=G542),"X dominates Y",IF(AND(F541&gt;=F542,G541&lt;=G542), "Y dominates X", "X and Y coexist as tradeoffs"))</f>
        <v>Y dominates X</v>
      </c>
    </row>
    <row r="542" spans="1:12" x14ac:dyDescent="0.35">
      <c r="A542" s="100" t="s">
        <v>218</v>
      </c>
      <c r="B542" s="7">
        <f ca="1">RANDBETWEEN(120,240)/1000</f>
        <v>0.157</v>
      </c>
      <c r="C542" s="7">
        <f ca="1">RANDBETWEEN(90,300)/1000</f>
        <v>9.9000000000000005E-2</v>
      </c>
      <c r="D542" s="7">
        <f ca="1">RANDBETWEEN(80,180)/1000</f>
        <v>0.158</v>
      </c>
      <c r="E542" s="7">
        <f ca="1">RANDBETWEEN(40,80)*(IF(RANDBETWEEN(0,1)=0,1,-1))/1000</f>
        <v>7.2999999999999995E-2</v>
      </c>
      <c r="F542" s="159">
        <f ca="1">STDEVP(B542:E542)</f>
        <v>3.6914597383690857E-2</v>
      </c>
      <c r="G542" s="159">
        <f ca="1">AVERAGE(B542:E542)</f>
        <v>0.12175000000000001</v>
      </c>
      <c r="H542" s="359" t="s">
        <v>3198</v>
      </c>
      <c r="I542" s="103" t="str">
        <f ca="1">IF(AND(F541&lt;=F542,G541&gt;=G542),"Y dominates X",IF(AND(F541&gt;=F542,G541&lt;=G542),  "X and Y coexist as tradeoffs","Y dominates X"))</f>
        <v>X and Y coexist as tradeoffs</v>
      </c>
    </row>
    <row r="543" spans="1:12" x14ac:dyDescent="0.35">
      <c r="F543" s="19">
        <f ca="1">vMask10*CHOOSE(RANDBETWEEN(1,2),F541,F542)</f>
        <v>9.0931894971256769E-2</v>
      </c>
      <c r="G543" s="19">
        <f ca="1">vMask10*CHOOSE(RANDBETWEEN(1,2),G541,G542)</f>
        <v>0.10774336283185842</v>
      </c>
      <c r="I543" s="103"/>
    </row>
    <row r="544" spans="1:12" x14ac:dyDescent="0.35">
      <c r="F544" s="19">
        <f ca="1">CHOOSE(H544,F541,F542,F543)</f>
        <v>3.6914597383690857E-2</v>
      </c>
      <c r="G544" s="19">
        <f ca="1">CHOOSE(I544,G541,G542,G543)</f>
        <v>0.10774336283185842</v>
      </c>
      <c r="H544" s="2">
        <f ca="1">RANDBETWEEN(1,3)</f>
        <v>2</v>
      </c>
      <c r="I544" s="2">
        <f ca="1">IF(J544&lt;&gt;H544,J544,CHOOSE(J544,RANDBETWEEN(2,3),J544+(IF(RANDBETWEEN(0,1)=0,1,-1)),RANDBETWEEN(1,2)))</f>
        <v>3</v>
      </c>
      <c r="J544" s="2">
        <f ca="1">RANDBETWEEN(1,3)</f>
        <v>3</v>
      </c>
    </row>
    <row r="545" spans="1:5" x14ac:dyDescent="0.35">
      <c r="A545" s="6" t="s">
        <v>1289</v>
      </c>
      <c r="B545" s="2" t="str">
        <f ca="1">"(Risk, return) equals (" &amp; ROUND(100*F541,2) &amp; "%," &amp; ROUND(G541*100,2)&amp;"%) for X and (" &amp; ROUND(100*F542,2) &amp; "%," &amp; ROUND(G542*100,2)&amp;"%) for Y;  also "</f>
        <v xml:space="preserve">(Risk, return) equals (10.28%,11.28%) for X and (3.69%,12.18%) for Y;  also </v>
      </c>
    </row>
    <row r="546" spans="1:5" x14ac:dyDescent="0.35">
      <c r="A546" s="6" t="s">
        <v>3418</v>
      </c>
      <c r="B546" s="2" t="str">
        <f ca="1">"(Risk, return) equals (" &amp; ROUND(100*F542,2) &amp; "%," &amp; ROUND(G542*100,2)&amp;"%) for X and (" &amp; ROUND(100*F543,2) &amp; "%," &amp; ROUND(G543*100,2)&amp;"%) for Y;  also "</f>
        <v xml:space="preserve">(Risk, return) equals (3.69%,12.18%) for X and (9.09%,10.77%) for Y;  also </v>
      </c>
    </row>
    <row r="547" spans="1:5" x14ac:dyDescent="0.35">
      <c r="A547" s="6" t="s">
        <v>3419</v>
      </c>
      <c r="B547" s="2" t="str">
        <f ca="1">"(Risk, return) equals (" &amp; ROUND(100*F543,2) &amp; "%," &amp; ROUND(G543*100,2)&amp;"%) for X and (" &amp; ROUND(100*F544,2) &amp; "%," &amp; ROUND(G544*100,2)&amp;"%) for Y;  also "</f>
        <v xml:space="preserve">(Risk, return) equals (9.09%,10.77%) for X and (3.69%,10.77%) for Y;  also </v>
      </c>
    </row>
    <row r="548" spans="1:5" ht="16" thickBot="1" x14ac:dyDescent="0.4"/>
    <row r="549" spans="1:5" ht="16.5" thickTop="1" thickBot="1" x14ac:dyDescent="0.4">
      <c r="B549" s="76" t="str">
        <f ca="1">[1]!alpha_ans($C$549)</f>
        <v>B</v>
      </c>
      <c r="C549" s="79" t="str">
        <f ca="1" xml:space="preserve"> "/\" &amp;RANDBETWEEN( 1,5) &amp; "/\" &amp;RANDBETWEEN( 1,120) &amp; "/\" &amp;RANDBETWEEN( 1,6) &amp; "/\" &amp;RANDBETWEEN( 1,2) &amp; "/\" &amp; B545 &amp; "/\" &amp; B546 &amp; "/\" &amp; B547 &amp; "/\" &amp; I541 &amp; "/\" &amp; I542</f>
        <v>/\2/\40/\3/\2/\(Risk, return) equals (10.28%,11.28%) for X and (3.69%,12.18%) for Y;  also /\(Risk, return) equals (3.69%,12.18%) for X and (9.09%,10.77%) for Y;  also /\(Risk, return) equals (9.09%,10.77%) for X and (3.69%,10.77%) for Y;  also /\Y dominates X/\X and Y coexist as tradeoffs</v>
      </c>
      <c r="D549" s="80" t="s">
        <v>3199</v>
      </c>
    </row>
    <row r="550" spans="1:5" ht="16" thickTop="1" x14ac:dyDescent="0.35">
      <c r="B550" s="81" t="str">
        <f ca="1">[1]!onepair_A($C$549)</f>
        <v xml:space="preserve">(Risk, return) equals (3.69%,12.18%) for X and (9.09%,10.77%) for Y;  also </v>
      </c>
      <c r="C550" s="82" t="str">
        <f ca="1">[1]!onepair_A2($C$549)</f>
        <v>Y dominates X</v>
      </c>
      <c r="D550" s="77"/>
    </row>
    <row r="551" spans="1:5" x14ac:dyDescent="0.35">
      <c r="B551" s="81" t="str">
        <f ca="1">[1]!onepair_B($C$549)</f>
        <v xml:space="preserve">(Risk, return) equals (10.28%,11.28%) for X and (3.69%,12.18%) for Y;  also </v>
      </c>
      <c r="C551" s="82" t="str">
        <f ca="1">[1]!onepair_B2($C$549)</f>
        <v>Y dominates X</v>
      </c>
      <c r="D551" s="77"/>
    </row>
    <row r="552" spans="1:5" x14ac:dyDescent="0.35">
      <c r="B552" s="81" t="str">
        <f ca="1">[1]!onepair_C($C$549)</f>
        <v xml:space="preserve">(Risk, return) equals (3.69%,12.18%) for X and (9.09%,10.77%) for Y;  also </v>
      </c>
      <c r="C552" s="82" t="str">
        <f ca="1">[1]!onepair_C2($C$549)</f>
        <v>X and Y coexist as tradeoffs</v>
      </c>
      <c r="D552" s="77"/>
    </row>
    <row r="553" spans="1:5" x14ac:dyDescent="0.35">
      <c r="B553" s="81" t="str">
        <f ca="1">[1]!onepair_D($C$549)</f>
        <v xml:space="preserve">(Risk, return) equals (9.09%,10.77%) for X and (3.69%,10.77%) for Y;  also </v>
      </c>
      <c r="C553" s="82" t="str">
        <f ca="1">[1]!onepair_D2($C$549)</f>
        <v>X and Y coexist as tradeoffs</v>
      </c>
      <c r="D553" s="77"/>
    </row>
    <row r="554" spans="1:5" ht="16" thickBot="1" x14ac:dyDescent="0.4">
      <c r="B554" s="83" t="str">
        <f ca="1">[1]!onepair_E($C$549)</f>
        <v xml:space="preserve">(Risk, return) equals (10.28%,11.28%) for X and (3.69%,12.18%) for Y;  also </v>
      </c>
      <c r="C554" s="84" t="str">
        <f ca="1">[1]!onepair_E2($C$549)</f>
        <v>X and Y coexist as tradeoffs</v>
      </c>
      <c r="D554" s="78"/>
    </row>
    <row r="555" spans="1:5" ht="16" thickTop="1" x14ac:dyDescent="0.35"/>
    <row r="557" spans="1:5" x14ac:dyDescent="0.35">
      <c r="A557" s="347" t="s">
        <v>2540</v>
      </c>
      <c r="B557" s="103"/>
      <c r="C557" s="103"/>
      <c r="D557" s="103"/>
      <c r="E557" s="103"/>
    </row>
    <row r="558" spans="1:5" x14ac:dyDescent="0.35">
      <c r="A558" s="8">
        <f ca="1">RANDBETWEEN(1,5)*1250</f>
        <v>2500</v>
      </c>
      <c r="B558" s="103" t="s">
        <v>2884</v>
      </c>
      <c r="C558" s="103"/>
      <c r="D558" s="103"/>
      <c r="E558" s="103"/>
    </row>
    <row r="559" spans="1:5" x14ac:dyDescent="0.35">
      <c r="A559" s="32">
        <f ca="1">RANDBETWEEN(5,8)*5/100</f>
        <v>0.25</v>
      </c>
      <c r="B559" s="103" t="s">
        <v>3725</v>
      </c>
      <c r="C559" s="103"/>
      <c r="D559" s="362">
        <f ca="1">IF(ABS(A559*A562+A560*A563+A561*A564)&lt;0.02,"#RECALCULATE",A559*A562+A560*A563+A561*A564)</f>
        <v>-0.22500000000000003</v>
      </c>
      <c r="E559" s="103" t="s">
        <v>1346</v>
      </c>
    </row>
    <row r="560" spans="1:5" x14ac:dyDescent="0.35">
      <c r="A560" s="32">
        <f ca="1">RANDBETWEEN(5,8)*5/100</f>
        <v>0.3</v>
      </c>
      <c r="B560" s="103" t="s">
        <v>3726</v>
      </c>
      <c r="C560" s="103"/>
      <c r="D560" s="103"/>
      <c r="E560" s="103"/>
    </row>
    <row r="561" spans="1:8" x14ac:dyDescent="0.35">
      <c r="A561" s="32">
        <f ca="1">1-A559-A560</f>
        <v>0.45</v>
      </c>
      <c r="B561" s="103" t="s">
        <v>3727</v>
      </c>
      <c r="C561" s="103"/>
      <c r="D561" s="103"/>
      <c r="E561" s="103"/>
    </row>
    <row r="562" spans="1:8" x14ac:dyDescent="0.35">
      <c r="A562" s="32">
        <f ca="1">(IF(RANDBETWEEN(0,1)=0,1,-1))*RANDBETWEEN(3,8)*4/100</f>
        <v>-0.12</v>
      </c>
      <c r="B562" s="103" t="s">
        <v>1343</v>
      </c>
      <c r="C562" s="103"/>
      <c r="D562" s="103"/>
      <c r="E562" s="103"/>
    </row>
    <row r="563" spans="1:8" x14ac:dyDescent="0.35">
      <c r="A563" s="32">
        <f ca="1">(IF(RANDBETWEEN(0,1)=0,1,-1))*RANDBETWEEN(3,8)*5/100</f>
        <v>-0.35</v>
      </c>
      <c r="B563" s="103" t="s">
        <v>1344</v>
      </c>
      <c r="C563" s="103"/>
      <c r="D563" s="103"/>
      <c r="E563" s="103"/>
    </row>
    <row r="564" spans="1:8" x14ac:dyDescent="0.35">
      <c r="A564" s="32">
        <f ca="1">(IF(RANDBETWEEN(0,1)=0,1,-1))*RANDBETWEEN(3,8)*4/100</f>
        <v>-0.2</v>
      </c>
      <c r="B564" s="103" t="s">
        <v>1345</v>
      </c>
      <c r="C564" s="103"/>
      <c r="D564" s="103"/>
      <c r="E564" s="103"/>
    </row>
    <row r="565" spans="1:8" ht="16" thickBot="1" x14ac:dyDescent="0.4"/>
    <row r="566" spans="1:8" ht="16.5" thickTop="1" thickBot="1" x14ac:dyDescent="0.4">
      <c r="B566" s="76" t="str">
        <f ca="1">[1]!std_ans($C$566)</f>
        <v>B</v>
      </c>
      <c r="C566" s="79" t="str">
        <f ca="1" xml:space="preserve"> "/\" &amp;RANDBETWEEN( 1,120) &amp; "/\" &amp;RANDBETWEEN( 1,120) &amp; "/\" &amp;0.1 &amp; "/\" &amp; D559</f>
        <v>/\52/\36/\0.1/\-0.225</v>
      </c>
      <c r="D566" s="80" t="s">
        <v>2541</v>
      </c>
    </row>
    <row r="567" spans="1:8" ht="16" thickTop="1" x14ac:dyDescent="0.35">
      <c r="B567" s="92">
        <f ca="1">[1]!stdnum_A($C$566)</f>
        <v>-0.2994750000000001</v>
      </c>
      <c r="C567" s="82"/>
      <c r="D567" s="77"/>
    </row>
    <row r="568" spans="1:8" x14ac:dyDescent="0.35">
      <c r="B568" s="92">
        <f ca="1">[1]!stdnum_B($C$566)</f>
        <v>-0.22500000000000001</v>
      </c>
      <c r="C568" s="82"/>
      <c r="D568" s="77"/>
    </row>
    <row r="569" spans="1:8" x14ac:dyDescent="0.35">
      <c r="B569" s="92">
        <f ca="1">[1]!stdnum_C($C$566)</f>
        <v>-0.27225000000000005</v>
      </c>
      <c r="C569" s="82"/>
      <c r="D569" s="77"/>
    </row>
    <row r="570" spans="1:8" x14ac:dyDescent="0.35">
      <c r="B570" s="92">
        <f ca="1">[1]!stdnum_D($C$566)</f>
        <v>-0.20454545454545453</v>
      </c>
      <c r="C570" s="82"/>
      <c r="D570" s="77"/>
    </row>
    <row r="571" spans="1:8" ht="16" thickBot="1" x14ac:dyDescent="0.4">
      <c r="B571" s="93">
        <f ca="1">[1]!stdnum_E($C$566)</f>
        <v>-0.24750000000000003</v>
      </c>
      <c r="C571" s="84"/>
      <c r="D571" s="78"/>
    </row>
    <row r="572" spans="1:8" ht="16" thickTop="1" x14ac:dyDescent="0.35"/>
    <row r="574" spans="1:8" x14ac:dyDescent="0.35">
      <c r="A574" s="88" t="s">
        <v>2542</v>
      </c>
    </row>
    <row r="575" spans="1:8" x14ac:dyDescent="0.35">
      <c r="F575" s="100" t="s">
        <v>1941</v>
      </c>
      <c r="G575" s="100" t="s">
        <v>3058</v>
      </c>
      <c r="H575" s="100" t="s">
        <v>2543</v>
      </c>
    </row>
    <row r="576" spans="1:8" x14ac:dyDescent="0.35">
      <c r="A576" s="100" t="s">
        <v>217</v>
      </c>
      <c r="B576" s="7">
        <f ca="1">RANDBETWEEN(0,40)*(IF(RANDBETWEEN(0,1)=0,1,-1))/1000</f>
        <v>2E-3</v>
      </c>
      <c r="C576" s="7">
        <f ca="1">RANDBETWEEN(40,120)/1000</f>
        <v>4.9000000000000002E-2</v>
      </c>
      <c r="D576" s="7">
        <f ca="1">RANDBETWEEN(180,260)/1000</f>
        <v>0.224</v>
      </c>
      <c r="E576" s="7">
        <f ca="1">RANDBETWEEN(120,180)/1000</f>
        <v>0.13500000000000001</v>
      </c>
      <c r="F576" s="159">
        <f ca="1">STDEVP(B576:E576)</f>
        <v>8.4824819481092911E-2</v>
      </c>
      <c r="G576" s="159">
        <f ca="1">AVERAGE(B576:E576)</f>
        <v>0.10250000000000001</v>
      </c>
      <c r="H576" s="255">
        <f ca="1">CORREL(B576:E576,B577:E577)</f>
        <v>-0.33642191206068145</v>
      </c>
    </row>
    <row r="577" spans="1:8" x14ac:dyDescent="0.35">
      <c r="A577" s="100" t="s">
        <v>218</v>
      </c>
      <c r="B577" s="7">
        <f ca="1">RANDBETWEEN(120,240)/1000</f>
        <v>0.22900000000000001</v>
      </c>
      <c r="C577" s="7">
        <f ca="1">RANDBETWEEN(90,300)/1000</f>
        <v>0.123</v>
      </c>
      <c r="D577" s="7">
        <f ca="1">RANDBETWEEN(80,180)/1000</f>
        <v>0.16</v>
      </c>
      <c r="E577" s="7">
        <f ca="1">RANDBETWEEN(40,80)*(IF(RANDBETWEEN(0,1)=0,1,-1))/1000</f>
        <v>-5.2999999999999999E-2</v>
      </c>
      <c r="F577" s="159">
        <f ca="1">STDEVP(B577:E577)</f>
        <v>0.10405377215651532</v>
      </c>
      <c r="G577" s="159">
        <f ca="1">AVERAGE(B577:E577)</f>
        <v>0.11475</v>
      </c>
    </row>
    <row r="579" spans="1:8" x14ac:dyDescent="0.35">
      <c r="A579" s="32">
        <f ca="1">RANDBETWEEN(5,8)*5/100</f>
        <v>0.4</v>
      </c>
      <c r="B579" s="2" t="s">
        <v>3725</v>
      </c>
      <c r="D579" s="14">
        <f ca="1">A579*G576+A580*G577</f>
        <v>0.10985</v>
      </c>
      <c r="E579" s="2" t="s">
        <v>2544</v>
      </c>
    </row>
    <row r="580" spans="1:8" x14ac:dyDescent="0.35">
      <c r="A580" s="32">
        <f ca="1">1-A579</f>
        <v>0.6</v>
      </c>
      <c r="B580" s="2" t="s">
        <v>3726</v>
      </c>
      <c r="D580" s="14">
        <f ca="1">(A579^2*F576^2+A580^2*F577^2+2*A579*A580*F576*F577*H576)^(0.5)</f>
        <v>6.019740442909479E-2</v>
      </c>
      <c r="E580" s="2" t="s">
        <v>2545</v>
      </c>
    </row>
    <row r="581" spans="1:8" ht="16" thickBot="1" x14ac:dyDescent="0.4"/>
    <row r="582" spans="1:8" ht="16.5" thickTop="1" thickBot="1" x14ac:dyDescent="0.4">
      <c r="B582" s="76" t="str">
        <f ca="1">[1]!alpha_ans($C$582)</f>
        <v>E</v>
      </c>
      <c r="C582" s="79" t="str">
        <f ca="1" xml:space="preserve"> "/\" &amp;RANDBETWEEN( 1,5) &amp; "/\" &amp;RANDBETWEEN( 1,120) &amp; "/\" &amp;RANDBETWEEN( 1,6) &amp; "/\" &amp;RANDBETWEEN( 1,2) &amp; "/\" &amp; D579 &amp; "/\" &amp; "Mask" &amp; "/\" &amp; "Mask" &amp; "/\" &amp; D580 &amp; "/\" &amp; "Mask"</f>
        <v>/\5/\81/\1/\2/\0.10985/\Mask/\Mask/\0.0601974044290948/\Mask</v>
      </c>
      <c r="D582" s="80" t="s">
        <v>2546</v>
      </c>
    </row>
    <row r="583" spans="1:8" ht="16" thickTop="1" x14ac:dyDescent="0.35">
      <c r="B583" s="92">
        <f ca="1">[1]!onepair_A($C$582)</f>
        <v>0.14527662499999999</v>
      </c>
      <c r="C583" s="242">
        <f ca="1">[1]!onepair_A2($C$582)</f>
        <v>6.0197404429094797E-2</v>
      </c>
      <c r="D583" s="77"/>
    </row>
    <row r="584" spans="1:8" x14ac:dyDescent="0.35">
      <c r="B584" s="92">
        <f ca="1">[1]!onepair_B($C$582)</f>
        <v>0.12632750000000001</v>
      </c>
      <c r="C584" s="242">
        <f ca="1">[1]!onepair_B2($C$582)</f>
        <v>6.0197404429094797E-2</v>
      </c>
      <c r="D584" s="77"/>
    </row>
    <row r="585" spans="1:8" x14ac:dyDescent="0.35">
      <c r="B585" s="92">
        <f ca="1">[1]!onepair_C($C$582)</f>
        <v>0.12632750000000001</v>
      </c>
      <c r="C585" s="242">
        <f ca="1">[1]!onepair_C2($C$582)</f>
        <v>6.9227015093458993E-2</v>
      </c>
      <c r="D585" s="77"/>
    </row>
    <row r="586" spans="1:8" x14ac:dyDescent="0.35">
      <c r="B586" s="92">
        <f ca="1">[1]!onepair_D($C$582)</f>
        <v>0.10985</v>
      </c>
      <c r="C586" s="242">
        <f ca="1">[1]!onepair_D2($C$582)</f>
        <v>6.9227015093458993E-2</v>
      </c>
      <c r="D586" s="77"/>
    </row>
    <row r="587" spans="1:8" ht="16" thickBot="1" x14ac:dyDescent="0.4">
      <c r="B587" s="93">
        <f ca="1">[1]!onepair_E($C$582)</f>
        <v>0.10985</v>
      </c>
      <c r="C587" s="299">
        <f ca="1">[1]!onepair_E2($C$582)</f>
        <v>6.0197404429094797E-2</v>
      </c>
      <c r="D587" s="78"/>
    </row>
    <row r="588" spans="1:8" ht="16" thickTop="1" x14ac:dyDescent="0.35"/>
    <row r="590" spans="1:8" x14ac:dyDescent="0.35">
      <c r="A590" s="88" t="s">
        <v>3577</v>
      </c>
    </row>
    <row r="591" spans="1:8" x14ac:dyDescent="0.35">
      <c r="F591" s="100" t="s">
        <v>1941</v>
      </c>
      <c r="G591" s="100" t="s">
        <v>3058</v>
      </c>
      <c r="H591" s="100" t="s">
        <v>2543</v>
      </c>
    </row>
    <row r="592" spans="1:8" x14ac:dyDescent="0.35">
      <c r="A592" s="100" t="s">
        <v>217</v>
      </c>
      <c r="B592" s="7">
        <f ca="1">RANDBETWEEN(0,40)*(IF(RANDBETWEEN(0,1)=0,1,-1))/1000</f>
        <v>8.9999999999999993E-3</v>
      </c>
      <c r="C592" s="7">
        <f ca="1">RANDBETWEEN(40,120)/1000</f>
        <v>4.2999999999999997E-2</v>
      </c>
      <c r="D592" s="7">
        <f ca="1">RANDBETWEEN(180,260)/1000</f>
        <v>0.18</v>
      </c>
      <c r="E592" s="7">
        <f ca="1">RANDBETWEEN(120,180)/1000</f>
        <v>0.14000000000000001</v>
      </c>
      <c r="F592" s="159">
        <f ca="1">STDEVP(B592:E592)</f>
        <v>6.9523377363301345E-2</v>
      </c>
      <c r="G592" s="159">
        <f ca="1">AVERAGE(B592:E592)</f>
        <v>9.2999999999999999E-2</v>
      </c>
      <c r="H592" s="255">
        <f ca="1">CORREL(B592:E592,B593:E593)</f>
        <v>-0.62365711919236233</v>
      </c>
    </row>
    <row r="593" spans="1:8" x14ac:dyDescent="0.35">
      <c r="A593" s="100" t="s">
        <v>218</v>
      </c>
      <c r="B593" s="7">
        <f ca="1">RANDBETWEEN(120,240)/1000</f>
        <v>0.19800000000000001</v>
      </c>
      <c r="C593" s="7">
        <f ca="1">RANDBETWEEN(90,300)/1000</f>
        <v>0.27500000000000002</v>
      </c>
      <c r="D593" s="7">
        <f ca="1">RANDBETWEEN(80,180)/1000</f>
        <v>0.13200000000000001</v>
      </c>
      <c r="E593" s="7">
        <f ca="1">RANDBETWEEN(40,80)*(IF(RANDBETWEEN(0,1)=0,1,-1))/1000</f>
        <v>-6.9000000000000006E-2</v>
      </c>
      <c r="F593" s="159">
        <f ca="1">STDEVP(B593:E593)</f>
        <v>0.12766166221697098</v>
      </c>
      <c r="G593" s="159">
        <f ca="1">AVERAGE(B593:E593)</f>
        <v>0.13400000000000001</v>
      </c>
    </row>
    <row r="595" spans="1:8" x14ac:dyDescent="0.35">
      <c r="A595" s="32">
        <f ca="1">RANDBETWEEN(5,8)*5/100</f>
        <v>0.4</v>
      </c>
      <c r="B595" s="2" t="s">
        <v>3725</v>
      </c>
      <c r="D595" s="14">
        <f ca="1">A595*G592+A596*G593</f>
        <v>0.11760000000000001</v>
      </c>
      <c r="E595" s="2" t="s">
        <v>2544</v>
      </c>
      <c r="G595" s="159">
        <f ca="1">A595*F592+A596*F593</f>
        <v>0.10440634827550313</v>
      </c>
      <c r="H595" s="2" t="s">
        <v>3578</v>
      </c>
    </row>
    <row r="596" spans="1:8" x14ac:dyDescent="0.35">
      <c r="A596" s="32">
        <f ca="1">1-A595</f>
        <v>0.6</v>
      </c>
      <c r="B596" s="2" t="s">
        <v>3726</v>
      </c>
      <c r="D596" s="14">
        <f ca="1">(A595^2*F592^2+A596^2*F593^2+2*A595*A596*F592*F593*H592)^(0.5)</f>
        <v>6.3115291332608126E-2</v>
      </c>
      <c r="E596" s="2" t="s">
        <v>2545</v>
      </c>
      <c r="G596" s="25">
        <f ca="1">10000*(G595-D596)</f>
        <v>412.91056942895005</v>
      </c>
      <c r="H596" s="2" t="s">
        <v>3579</v>
      </c>
    </row>
    <row r="597" spans="1:8" ht="16" thickBot="1" x14ac:dyDescent="0.4"/>
    <row r="598" spans="1:8" ht="16.5" thickTop="1" thickBot="1" x14ac:dyDescent="0.4">
      <c r="B598" s="76" t="str">
        <f ca="1">[1]!std_ans($C$598)</f>
        <v>D</v>
      </c>
      <c r="C598" s="79" t="str">
        <f ca="1" xml:space="preserve"> "/\" &amp;RANDBETWEEN( 1,120) &amp; "/\" &amp;RANDBETWEEN( 1,120) &amp; "/\" &amp;0.1 &amp; "/\" &amp; G596</f>
        <v>/\95/\99/\0.1/\412.91056942895</v>
      </c>
      <c r="D598" s="80" t="s">
        <v>3580</v>
      </c>
    </row>
    <row r="599" spans="1:8" ht="16" thickTop="1" x14ac:dyDescent="0.35">
      <c r="B599" s="74">
        <f ca="1">[1]!stdnum_A($C$598)</f>
        <v>310.22582226066856</v>
      </c>
      <c r="C599" s="82"/>
      <c r="D599" s="77"/>
    </row>
    <row r="600" spans="1:8" x14ac:dyDescent="0.35">
      <c r="B600" s="74">
        <f ca="1">[1]!stdnum_B($C$598)</f>
        <v>375.3732449354091</v>
      </c>
      <c r="C600" s="82"/>
      <c r="D600" s="77"/>
    </row>
    <row r="601" spans="1:8" x14ac:dyDescent="0.35">
      <c r="B601" s="74">
        <f ca="1">[1]!stdnum_C($C$598)</f>
        <v>341.24840448673552</v>
      </c>
      <c r="C601" s="82"/>
      <c r="D601" s="77"/>
    </row>
    <row r="602" spans="1:8" x14ac:dyDescent="0.35">
      <c r="B602" s="74">
        <f ca="1">[1]!stdnum_D($C$598)</f>
        <v>412.91056942895</v>
      </c>
      <c r="C602" s="82"/>
      <c r="D602" s="77"/>
    </row>
    <row r="603" spans="1:8" ht="16" thickBot="1" x14ac:dyDescent="0.4">
      <c r="B603" s="75">
        <f ca="1">[1]!stdnum_E($C$598)</f>
        <v>282.02347478242598</v>
      </c>
      <c r="C603" s="84"/>
      <c r="D603" s="78"/>
    </row>
    <row r="604" spans="1:8" ht="16" thickTop="1" x14ac:dyDescent="0.35"/>
    <row r="606" spans="1:8" x14ac:dyDescent="0.35">
      <c r="A606" s="88" t="s">
        <v>425</v>
      </c>
    </row>
    <row r="607" spans="1:8" x14ac:dyDescent="0.35">
      <c r="A607" s="244">
        <f ca="1">RANDBETWEEN(90,140)/1000</f>
        <v>0.127</v>
      </c>
      <c r="B607" s="2" t="s">
        <v>2867</v>
      </c>
      <c r="E607" s="252">
        <f ca="1">(A611^2-E609)/(A608^2+A611^2-2*E609)</f>
        <v>0.32175122748360502</v>
      </c>
      <c r="F607" s="2" t="s">
        <v>2678</v>
      </c>
    </row>
    <row r="608" spans="1:8" x14ac:dyDescent="0.35">
      <c r="A608" s="7">
        <f ca="1">RANDBETWEEN(260,385)/1000</f>
        <v>0.379</v>
      </c>
      <c r="B608" s="2" t="s">
        <v>2868</v>
      </c>
      <c r="E608" s="245">
        <f ca="1">1-E607</f>
        <v>0.67824877251639504</v>
      </c>
      <c r="F608" s="2" t="s">
        <v>763</v>
      </c>
    </row>
    <row r="609" spans="1:8" x14ac:dyDescent="0.35">
      <c r="A609" s="115">
        <f ca="1">RANDBETWEEN(-10,38)/100</f>
        <v>0.27</v>
      </c>
      <c r="B609" s="2" t="s">
        <v>2967</v>
      </c>
      <c r="E609" s="4">
        <f ca="1">ROUND(A609*A611*A608,6)</f>
        <v>2.9604999999999999E-2</v>
      </c>
      <c r="F609" s="2" t="s">
        <v>1459</v>
      </c>
    </row>
    <row r="610" spans="1:8" x14ac:dyDescent="0.35">
      <c r="A610" s="244">
        <f ca="1">A607*(1+RANDBETWEEN(36,45)/100)^(IF(RANDBETWEEN(0,1)=0,1,-1))</f>
        <v>0.18160999999999999</v>
      </c>
      <c r="B610" s="2" t="s">
        <v>2869</v>
      </c>
      <c r="E610" s="7"/>
      <c r="G610" s="2" t="b">
        <v>1</v>
      </c>
      <c r="H610" s="2" t="str">
        <f ca="1">CHOOSE((RANDBETWEEN(0,1))+1,H611,H612)</f>
        <v>67.8% or more in asset Y</v>
      </c>
    </row>
    <row r="611" spans="1:8" x14ac:dyDescent="0.35">
      <c r="A611" s="7">
        <f ca="1">A608*(1+RANDBETWEEN(26,35)/100)^(IF(RANDBETWEEN(0,1)=0,1,-1))</f>
        <v>0.28931297709923665</v>
      </c>
      <c r="B611" s="2" t="s">
        <v>2870</v>
      </c>
      <c r="E611" s="7" t="str">
        <f ca="1">IF(A607&gt;A610,"X","Y")</f>
        <v>Y</v>
      </c>
      <c r="F611" s="2" t="str">
        <f ca="1">IF(A607&lt;A610,"X","Y")</f>
        <v>X</v>
      </c>
      <c r="G611" s="2" t="s">
        <v>3416</v>
      </c>
      <c r="H611" s="2" t="str">
        <f ca="1">ROUND(E612*100,1)&amp;"% or more in asset " &amp; E611</f>
        <v>67.8% or more in asset Y</v>
      </c>
    </row>
    <row r="612" spans="1:8" x14ac:dyDescent="0.35">
      <c r="E612" s="2">
        <f ca="1">IF(A607&gt;A610,E607,E608)</f>
        <v>0.67824877251639504</v>
      </c>
      <c r="F612" s="2">
        <f ca="1">IF(A607&lt;A610,E607,E608)</f>
        <v>0.32175122748360502</v>
      </c>
      <c r="G612" s="2" t="s">
        <v>3417</v>
      </c>
      <c r="H612" s="2" t="str">
        <f ca="1">ROUND(F612*100,1)&amp;"% or less in asset " &amp; F611</f>
        <v>32.2% or less in asset X</v>
      </c>
    </row>
    <row r="613" spans="1:8" x14ac:dyDescent="0.35">
      <c r="E613" s="2">
        <f ca="1">(1+RANDBETWEEN(16,25)/100)^(IF(RANDBETWEEN(0,1)=0,1,-1))*E612</f>
        <v>0.54259901801311605</v>
      </c>
      <c r="F613" s="2">
        <f ca="1">1-E613</f>
        <v>0.45740098198688395</v>
      </c>
      <c r="G613" s="2" t="s">
        <v>3418</v>
      </c>
      <c r="H613" s="2" t="str">
        <f ca="1">ROUND(E613*100,1)&amp;"% or more in asset " &amp;CHOOSE((RANDBETWEEN(0,1))+1,E611,F611)</f>
        <v>54.3% or more in asset X</v>
      </c>
    </row>
    <row r="614" spans="1:8" x14ac:dyDescent="0.35">
      <c r="G614" s="2" t="s">
        <v>3419</v>
      </c>
      <c r="H614" s="2" t="str">
        <f ca="1">ROUND(F613*100,1)&amp;"% or less in asset " &amp; CHOOSE((RANDBETWEEN(0,1))+1,E611,F611)</f>
        <v>45.7% or less in asset X</v>
      </c>
    </row>
    <row r="615" spans="1:8" x14ac:dyDescent="0.35">
      <c r="E615" s="2">
        <f ca="1">CHOOSE(RANDBETWEEN(1,2),E612,E613)</f>
        <v>0.54259901801311605</v>
      </c>
      <c r="F615" s="2">
        <f ca="1">CHOOSE(RANDBETWEEN(1,2),F612,F613)</f>
        <v>0.32175122748360502</v>
      </c>
      <c r="G615" s="2" t="s">
        <v>2865</v>
      </c>
      <c r="H615" s="2" t="str">
        <f ca="1">ROUND(E615*100,1)&amp;"% or less in asset " &amp; E611</f>
        <v>54.3% or less in asset Y</v>
      </c>
    </row>
    <row r="616" spans="1:8" ht="16" thickBot="1" x14ac:dyDescent="0.4">
      <c r="G616" s="2" t="s">
        <v>2866</v>
      </c>
      <c r="H616" s="2" t="str">
        <f ca="1">ROUND(F615*100,1)&amp;"% or more in asset " &amp; F611</f>
        <v>32.2% or more in asset X</v>
      </c>
    </row>
    <row r="617" spans="1:8" ht="16.5" thickTop="1" thickBot="1" x14ac:dyDescent="0.4">
      <c r="B617" s="76" t="str">
        <f ca="1">[1]!std_ans($C$617)</f>
        <v>A</v>
      </c>
      <c r="C617" s="79" t="str">
        <f ca="1" xml:space="preserve"> "/\" &amp;RANDBETWEEN( 1,120) &amp; "/\" &amp; H610 &amp; "/\" &amp; H613 &amp; "/\" &amp; H614 &amp; "/\" &amp; H615 &amp; "/\" &amp; H616</f>
        <v>/\23/\67.8% or more in asset Y/\54.3% or more in asset X/\45.7% or less in asset X/\54.3% or less in asset Y/\32.2% or more in asset X</v>
      </c>
      <c r="D617" s="80" t="s">
        <v>2871</v>
      </c>
    </row>
    <row r="618" spans="1:8" ht="16" thickTop="1" x14ac:dyDescent="0.35">
      <c r="B618" s="81" t="str">
        <f ca="1">[1]!simpleV_A($C$617)</f>
        <v>67.8% or more in asset Y</v>
      </c>
      <c r="C618" s="82"/>
      <c r="D618" s="77"/>
    </row>
    <row r="619" spans="1:8" x14ac:dyDescent="0.35">
      <c r="B619" s="81" t="str">
        <f ca="1">[1]!simpleV_B($C$617)</f>
        <v>32.2% or more in asset X</v>
      </c>
      <c r="C619" s="82"/>
      <c r="D619" s="77"/>
    </row>
    <row r="620" spans="1:8" x14ac:dyDescent="0.35">
      <c r="B620" s="81" t="str">
        <f ca="1">[1]!simpleV_C($C$617)</f>
        <v>54.3% or less in asset Y</v>
      </c>
      <c r="C620" s="82"/>
      <c r="D620" s="77"/>
    </row>
    <row r="621" spans="1:8" x14ac:dyDescent="0.35">
      <c r="B621" s="81" t="str">
        <f ca="1">[1]!simpleV_D($C$617)</f>
        <v>54.3% or more in asset X</v>
      </c>
      <c r="C621" s="82"/>
      <c r="D621" s="77"/>
    </row>
    <row r="622" spans="1:8" ht="16" thickBot="1" x14ac:dyDescent="0.4">
      <c r="B622" s="83" t="str">
        <f ca="1">[1]!simpleV_E($C$617)</f>
        <v>45.7% or less in asset X</v>
      </c>
      <c r="C622" s="84"/>
      <c r="D622" s="78"/>
    </row>
    <row r="623" spans="1:8" ht="16" thickTop="1" x14ac:dyDescent="0.35"/>
    <row r="625" spans="1:9" x14ac:dyDescent="0.35">
      <c r="A625" s="347" t="s">
        <v>3507</v>
      </c>
      <c r="B625" s="103"/>
    </row>
    <row r="626" spans="1:9" x14ac:dyDescent="0.35">
      <c r="A626" s="24">
        <f ca="1">RANDBETWEEN(6,14)</f>
        <v>12</v>
      </c>
      <c r="B626" s="103" t="s">
        <v>3508</v>
      </c>
      <c r="E626" s="34">
        <f ca="1">1-A627-A628</f>
        <v>0.29999999999999993</v>
      </c>
      <c r="F626" s="2" t="s">
        <v>3511</v>
      </c>
      <c r="H626" s="12">
        <f ca="1">(E626*(E629-E630)^2+A627*(E627-E630)^2+A628*(E628-E630)^2)^(1/2)</f>
        <v>1.1161690433502147</v>
      </c>
      <c r="I626" s="2" t="s">
        <v>3517</v>
      </c>
    </row>
    <row r="627" spans="1:9" x14ac:dyDescent="0.35">
      <c r="A627" s="32">
        <f ca="1">RANDBETWEEN(5,8)*5/100</f>
        <v>0.4</v>
      </c>
      <c r="B627" s="103" t="s">
        <v>3509</v>
      </c>
      <c r="E627" s="12">
        <f ca="1">A629/A626-1</f>
        <v>0.83333333333333326</v>
      </c>
      <c r="F627" s="2" t="s">
        <v>3514</v>
      </c>
    </row>
    <row r="628" spans="1:9" x14ac:dyDescent="0.35">
      <c r="A628" s="32">
        <f ca="1">A627-RANDBETWEEN(2,4)*5/100</f>
        <v>0.30000000000000004</v>
      </c>
      <c r="B628" s="103" t="s">
        <v>3510</v>
      </c>
      <c r="E628" s="12">
        <f ca="1">A630/A626-1</f>
        <v>1.8333333333333335</v>
      </c>
      <c r="F628" s="2" t="s">
        <v>3515</v>
      </c>
    </row>
    <row r="629" spans="1:9" x14ac:dyDescent="0.35">
      <c r="A629" s="8">
        <f ca="1">ROUND(A626*1.5*MAX(MAX(vMask10,1/vMask10),(1+RANDBETWEEN(16,25)/100)^(IF(RANDBETWEEN(0,1)=0,1,-1))),0)</f>
        <v>22</v>
      </c>
      <c r="B629" s="2" t="s">
        <v>3512</v>
      </c>
      <c r="E629" s="12">
        <f>-1</f>
        <v>-1</v>
      </c>
      <c r="F629" s="2" t="s">
        <v>3518</v>
      </c>
    </row>
    <row r="630" spans="1:9" x14ac:dyDescent="0.35">
      <c r="A630" s="8">
        <f ca="1">ROUND(A626*2*MAX(MAX(vMask40,1/vMask40),(1+RANDBETWEEN(46,55)/100)^(IF(RANDBETWEEN(0,1)=0,1,-1))),0)</f>
        <v>34</v>
      </c>
      <c r="B630" s="2" t="s">
        <v>3513</v>
      </c>
      <c r="E630" s="14">
        <f ca="1">IF(ABS(E626*E629+A627*E627+A628*E628)&lt;0.1,"#RECALCULATE",E626*E629+A627*E627+A628*E628)</f>
        <v>0.58333333333333348</v>
      </c>
      <c r="F630" s="2" t="s">
        <v>3516</v>
      </c>
    </row>
    <row r="631" spans="1:9" ht="16" thickBot="1" x14ac:dyDescent="0.4"/>
    <row r="632" spans="1:9" ht="16.5" thickTop="1" thickBot="1" x14ac:dyDescent="0.4">
      <c r="B632" s="76" t="str">
        <f ca="1">[1]!alpha_ans($C$632)</f>
        <v>C</v>
      </c>
      <c r="C632" s="79" t="str">
        <f ca="1" xml:space="preserve"> "/\" &amp;RANDBETWEEN( 1,5) &amp; "/\" &amp;RANDBETWEEN( 1,120) &amp; "/\" &amp;RANDBETWEEN( 1,6) &amp; "/\" &amp;RANDBETWEEN( 1,2) &amp; "/\" &amp; E630 &amp; "/\" &amp; "Mask" &amp; "/\" &amp; "Mask" &amp; "/\" &amp; H626 &amp; "/\" &amp; "Mask"</f>
        <v>/\3/\43/\6/\2/\0.583333333333333/\Mask/\Mask/\1.11616904335021/\Mask</v>
      </c>
      <c r="D632" s="80" t="s">
        <v>3519</v>
      </c>
    </row>
    <row r="633" spans="1:9" ht="16" thickTop="1" x14ac:dyDescent="0.35">
      <c r="B633" s="92">
        <f ca="1">[1]!onepair_A($C$632)</f>
        <v>0.50724637681159401</v>
      </c>
      <c r="C633" s="190">
        <f ca="1">[1]!onepair_A2($C$632)</f>
        <v>1.1161690433502101</v>
      </c>
      <c r="D633" s="77"/>
    </row>
    <row r="634" spans="1:9" x14ac:dyDescent="0.35">
      <c r="B634" s="92">
        <f ca="1">[1]!onepair_B($C$632)</f>
        <v>0.44108380592312502</v>
      </c>
      <c r="C634" s="190">
        <f ca="1">[1]!onepair_B2($C$632)</f>
        <v>1.2835943998527399</v>
      </c>
      <c r="D634" s="77"/>
    </row>
    <row r="635" spans="1:9" x14ac:dyDescent="0.35">
      <c r="B635" s="92">
        <f ca="1">[1]!onepair_C($C$632)</f>
        <v>0.58333333333333304</v>
      </c>
      <c r="C635" s="190">
        <f ca="1">[1]!onepair_C2($C$632)</f>
        <v>1.1161690433502101</v>
      </c>
      <c r="D635" s="77"/>
    </row>
    <row r="636" spans="1:9" x14ac:dyDescent="0.35">
      <c r="B636" s="92">
        <f ca="1">[1]!onepair_D($C$632)</f>
        <v>0.50724637681159401</v>
      </c>
      <c r="C636" s="190">
        <f ca="1">[1]!onepair_D2($C$632)</f>
        <v>1.2835943998527399</v>
      </c>
      <c r="D636" s="77"/>
    </row>
    <row r="637" spans="1:9" ht="16" thickBot="1" x14ac:dyDescent="0.4">
      <c r="B637" s="93">
        <f ca="1">[1]!onepair_E($C$632)</f>
        <v>0.44108380592312502</v>
      </c>
      <c r="C637" s="374">
        <f ca="1">[1]!onepair_E2($C$632)</f>
        <v>1.1161690433502101</v>
      </c>
      <c r="D637" s="78"/>
    </row>
    <row r="638" spans="1:9" ht="16" thickTop="1" x14ac:dyDescent="0.35"/>
    <row r="640" spans="1:9" x14ac:dyDescent="0.35">
      <c r="A640" s="347" t="s">
        <v>3779</v>
      </c>
    </row>
    <row r="641" spans="1:7" x14ac:dyDescent="0.35">
      <c r="A641" s="7">
        <f ca="1">RANDBETWEEN(4,11)*5/1000</f>
        <v>0.02</v>
      </c>
      <c r="B641" s="2" t="s">
        <v>1393</v>
      </c>
      <c r="F641" s="25">
        <f ca="1">100*(A642-A641)/A643</f>
        <v>75</v>
      </c>
      <c r="G641" s="2" t="s">
        <v>3024</v>
      </c>
    </row>
    <row r="642" spans="1:7" x14ac:dyDescent="0.35">
      <c r="A642" s="7">
        <f ca="1">A641+RANDBETWEEN(8,20)*5/1000</f>
        <v>0.11</v>
      </c>
      <c r="B642" s="2" t="s">
        <v>1394</v>
      </c>
      <c r="F642" s="252">
        <f ca="1">(A644-A642)/(A641-A642)</f>
        <v>0.80000000000000016</v>
      </c>
      <c r="G642" s="2" t="s">
        <v>3781</v>
      </c>
    </row>
    <row r="643" spans="1:7" x14ac:dyDescent="0.35">
      <c r="A643" s="7">
        <f ca="1">RANDBETWEEN(24,40)*5/1000</f>
        <v>0.12</v>
      </c>
      <c r="B643" s="2" t="s">
        <v>2929</v>
      </c>
      <c r="F643" s="2">
        <f ca="1">RANDBETWEEN(0,1)</f>
        <v>1</v>
      </c>
      <c r="G643" s="2" t="s">
        <v>3782</v>
      </c>
    </row>
    <row r="644" spans="1:7" x14ac:dyDescent="0.35">
      <c r="A644" s="7">
        <f ca="1">ROUND(A641+(A642-A641)*RANDBETWEEN(1,4)/5,3)</f>
        <v>3.7999999999999999E-2</v>
      </c>
      <c r="B644" s="2" t="s">
        <v>3780</v>
      </c>
      <c r="F644" s="252">
        <f ca="1">IF(F643=0,F642,1-F642)</f>
        <v>0.19999999999999984</v>
      </c>
      <c r="G644" s="2" t="str">
        <f ca="1">IF(F643=0,"risk-free asset","market portfolio")</f>
        <v>market portfolio</v>
      </c>
    </row>
    <row r="645" spans="1:7" ht="16" thickBot="1" x14ac:dyDescent="0.4">
      <c r="G645" s="2" t="str">
        <f ca="1">IF(F643=1,"risk-free asset","market portfolio")</f>
        <v>risk-free asset</v>
      </c>
    </row>
    <row r="646" spans="1:7" ht="16.5" thickTop="1" thickBot="1" x14ac:dyDescent="0.4">
      <c r="B646" s="76" t="str">
        <f ca="1">[1]!alpha_ans($C$646)</f>
        <v>D</v>
      </c>
      <c r="C646" s="79" t="str">
        <f ca="1" xml:space="preserve"> "/\" &amp;RANDBETWEEN( 1,5) &amp; "/\" &amp;RANDBETWEEN( 1,120) &amp; "/\" &amp;RANDBETWEEN( 1,6) &amp; "/\" &amp;RANDBETWEEN( 1,2) &amp; "/\" &amp; F644 &amp; "/\" &amp; "Mask" &amp; "/\" &amp; "Mask" &amp; "/\" &amp; G644 &amp; "/\" &amp; G645</f>
        <v>/\4/\82/\4/\1/\0.2/\Mask/\Mask/\market portfolio/\risk-free asset</v>
      </c>
      <c r="D646" s="80" t="s">
        <v>3783</v>
      </c>
    </row>
    <row r="647" spans="1:7" ht="16" thickTop="1" x14ac:dyDescent="0.35">
      <c r="B647" s="92">
        <f ca="1">[1]!onepair_A($C$646)</f>
        <v>0.173913043478261</v>
      </c>
      <c r="C647" s="82" t="str">
        <f ca="1">[1]!onepair_A2($C$646)</f>
        <v>market portfolio</v>
      </c>
      <c r="D647" s="77"/>
    </row>
    <row r="648" spans="1:7" x14ac:dyDescent="0.35">
      <c r="B648" s="92">
        <f ca="1">[1]!onepair_B($C$646)</f>
        <v>0.23</v>
      </c>
      <c r="C648" s="82" t="str">
        <f ca="1">[1]!onepair_B2($C$646)</f>
        <v>market portfolio</v>
      </c>
      <c r="D648" s="77"/>
    </row>
    <row r="649" spans="1:7" x14ac:dyDescent="0.35">
      <c r="B649" s="92">
        <f ca="1">[1]!onepair_C($C$646)</f>
        <v>0.23</v>
      </c>
      <c r="C649" s="82" t="str">
        <f ca="1">[1]!onepair_C2($C$646)</f>
        <v>risk-free asset</v>
      </c>
      <c r="D649" s="77"/>
    </row>
    <row r="650" spans="1:7" x14ac:dyDescent="0.35">
      <c r="B650" s="92">
        <f ca="1">[1]!onepair_D($C$646)</f>
        <v>0.2</v>
      </c>
      <c r="C650" s="82" t="str">
        <f ca="1">[1]!onepair_D2($C$646)</f>
        <v>market portfolio</v>
      </c>
      <c r="D650" s="77"/>
    </row>
    <row r="651" spans="1:7" ht="16" thickBot="1" x14ac:dyDescent="0.4">
      <c r="B651" s="93">
        <f ca="1">[1]!onepair_E($C$646)</f>
        <v>0.2</v>
      </c>
      <c r="C651" s="84" t="str">
        <f ca="1">[1]!onepair_E2($C$646)</f>
        <v>risk-free asset</v>
      </c>
      <c r="D651" s="78"/>
    </row>
    <row r="652" spans="1:7" ht="16" thickTop="1" x14ac:dyDescent="0.35"/>
    <row r="654" spans="1:7" x14ac:dyDescent="0.35">
      <c r="A654" s="347" t="s">
        <v>1472</v>
      </c>
    </row>
    <row r="655" spans="1:7" x14ac:dyDescent="0.35">
      <c r="A655" s="7">
        <f ca="1">RANDBETWEEN(4,11)*5/1000</f>
        <v>0.05</v>
      </c>
      <c r="B655" s="2" t="s">
        <v>1393</v>
      </c>
      <c r="F655" s="25">
        <f ca="1">100*(A656-A655)/A657</f>
        <v>35</v>
      </c>
      <c r="G655" s="2" t="s">
        <v>3024</v>
      </c>
    </row>
    <row r="656" spans="1:7" x14ac:dyDescent="0.35">
      <c r="A656" s="7">
        <f ca="1">A655+RANDBETWEEN(8,20)*5/1000</f>
        <v>0.12000000000000001</v>
      </c>
      <c r="B656" s="2" t="s">
        <v>1394</v>
      </c>
      <c r="F656" s="252">
        <f ca="1">(1-A658/A657)</f>
        <v>0.20000000000000007</v>
      </c>
      <c r="G656" s="2" t="s">
        <v>3781</v>
      </c>
    </row>
    <row r="657" spans="1:7" x14ac:dyDescent="0.35">
      <c r="A657" s="7">
        <f ca="1">RANDBETWEEN(24,40)*5/1000</f>
        <v>0.2</v>
      </c>
      <c r="B657" s="2" t="s">
        <v>2929</v>
      </c>
      <c r="F657" s="2">
        <f ca="1">RANDBETWEEN(0,1)</f>
        <v>0</v>
      </c>
      <c r="G657" s="2" t="s">
        <v>3782</v>
      </c>
    </row>
    <row r="658" spans="1:7" x14ac:dyDescent="0.35">
      <c r="A658" s="7">
        <f ca="1">ROUND(0+(A657-0)*RANDBETWEEN(1,4)/5,3)</f>
        <v>0.16</v>
      </c>
      <c r="B658" s="2" t="s">
        <v>1473</v>
      </c>
      <c r="F658" s="252">
        <f ca="1">IF(F657=0,F656,1-F656)</f>
        <v>0.20000000000000007</v>
      </c>
      <c r="G658" s="2" t="str">
        <f ca="1">IF(F657=0,"risk-free asset","market portfolio")</f>
        <v>risk-free asset</v>
      </c>
    </row>
    <row r="659" spans="1:7" x14ac:dyDescent="0.35">
      <c r="G659" s="2" t="str">
        <f ca="1">IF(F657=1,"risk-free asset","market portfolio")</f>
        <v>market portfolio</v>
      </c>
    </row>
    <row r="660" spans="1:7" ht="16" thickBot="1" x14ac:dyDescent="0.4"/>
    <row r="661" spans="1:7" ht="16.5" thickTop="1" thickBot="1" x14ac:dyDescent="0.4">
      <c r="B661" s="76" t="str">
        <f ca="1">[1]!alpha_ans($C$661)</f>
        <v>A</v>
      </c>
      <c r="C661" s="79" t="str">
        <f ca="1" xml:space="preserve"> "/\" &amp;RANDBETWEEN( 1,5) &amp; "/\" &amp;RANDBETWEEN( 1,120) &amp; "/\" &amp;RANDBETWEEN( 1,6) &amp; "/\" &amp;RANDBETWEEN( 1,2) &amp; "/\" &amp; F658 &amp; "/\" &amp; "Mask" &amp; "/\" &amp; "Mask" &amp; "/\" &amp; G658 &amp; "/\" &amp; G659</f>
        <v>/\1/\1/\1/\1/\0.2/\Mask/\Mask/\risk-free asset/\market portfolio</v>
      </c>
      <c r="D661" s="80" t="s">
        <v>1474</v>
      </c>
    </row>
    <row r="662" spans="1:7" ht="16" thickTop="1" x14ac:dyDescent="0.35">
      <c r="B662" s="92">
        <f ca="1">[1]!onepair_A($C$661)</f>
        <v>0.2</v>
      </c>
      <c r="C662" s="82" t="str">
        <f ca="1">[1]!onepair_A2($C$661)</f>
        <v>risk-free asset</v>
      </c>
      <c r="D662" s="77"/>
    </row>
    <row r="663" spans="1:7" x14ac:dyDescent="0.35">
      <c r="B663" s="92">
        <f ca="1">[1]!onepair_B($C$661)</f>
        <v>0.23</v>
      </c>
      <c r="C663" s="82" t="str">
        <f ca="1">[1]!onepair_B2($C$661)</f>
        <v>risk-free asset</v>
      </c>
      <c r="D663" s="77"/>
    </row>
    <row r="664" spans="1:7" x14ac:dyDescent="0.35">
      <c r="B664" s="92">
        <f ca="1">[1]!onepair_C($C$661)</f>
        <v>0.23</v>
      </c>
      <c r="C664" s="82" t="str">
        <f ca="1">[1]!onepair_C2($C$661)</f>
        <v>market portfolio</v>
      </c>
      <c r="D664" s="77"/>
    </row>
    <row r="665" spans="1:7" x14ac:dyDescent="0.35">
      <c r="B665" s="92">
        <f ca="1">[1]!onepair_D($C$661)</f>
        <v>0.26450000000000001</v>
      </c>
      <c r="C665" s="82" t="str">
        <f ca="1">[1]!onepair_D2($C$661)</f>
        <v>risk-free asset</v>
      </c>
      <c r="D665" s="77"/>
    </row>
    <row r="666" spans="1:7" ht="16" thickBot="1" x14ac:dyDescent="0.4">
      <c r="B666" s="93">
        <f ca="1">[1]!onepair_E($C$661)</f>
        <v>0.26450000000000001</v>
      </c>
      <c r="C666" s="84" t="str">
        <f ca="1">[1]!onepair_E2($C$661)</f>
        <v>market portfolio</v>
      </c>
      <c r="D666" s="78"/>
    </row>
    <row r="667" spans="1:7" ht="16" thickTop="1" x14ac:dyDescent="0.35"/>
    <row r="669" spans="1:7" x14ac:dyDescent="0.35">
      <c r="A669" s="347" t="s">
        <v>3785</v>
      </c>
    </row>
    <row r="670" spans="1:7" x14ac:dyDescent="0.35">
      <c r="A670" s="7">
        <f ca="1">RANDBETWEEN(4,11)*5/1000</f>
        <v>5.5E-2</v>
      </c>
      <c r="B670" s="2" t="s">
        <v>1393</v>
      </c>
      <c r="F670" s="25">
        <f ca="1">100*(A671-A670)/A672</f>
        <v>32</v>
      </c>
      <c r="G670" s="2" t="s">
        <v>3024</v>
      </c>
    </row>
    <row r="671" spans="1:7" x14ac:dyDescent="0.35">
      <c r="A671" s="7">
        <f ca="1">A670+RANDBETWEEN(8,20)*5/1000</f>
        <v>9.5000000000000001E-2</v>
      </c>
      <c r="B671" s="2" t="s">
        <v>1394</v>
      </c>
      <c r="F671" s="252">
        <f ca="1">(A673-A671)/(A670-A671)</f>
        <v>0.20000000000000018</v>
      </c>
      <c r="G671" s="2" t="s">
        <v>3781</v>
      </c>
    </row>
    <row r="672" spans="1:7" x14ac:dyDescent="0.35">
      <c r="A672" s="7">
        <f ca="1">RANDBETWEEN(24,40)*5/1000</f>
        <v>0.125</v>
      </c>
      <c r="B672" s="2" t="s">
        <v>2929</v>
      </c>
      <c r="F672" s="2">
        <f ca="1">RANDBETWEEN(0,1)</f>
        <v>1</v>
      </c>
      <c r="G672" s="2" t="s">
        <v>3782</v>
      </c>
    </row>
    <row r="673" spans="1:8" x14ac:dyDescent="0.35">
      <c r="A673" s="7">
        <f ca="1">ROUND(A670+(A671-A670)*RANDBETWEEN(1,4)/5,3)</f>
        <v>8.6999999999999994E-2</v>
      </c>
      <c r="B673" s="2" t="s">
        <v>3780</v>
      </c>
      <c r="F673" s="252">
        <f ca="1">IF(F672=0,F671,1-F671)</f>
        <v>0.79999999999999982</v>
      </c>
      <c r="G673" s="2" t="str">
        <f ca="1">IF(F672=0,"risk-free asset","market portfolio")</f>
        <v>market portfolio</v>
      </c>
    </row>
    <row r="674" spans="1:8" x14ac:dyDescent="0.35">
      <c r="A674" s="244">
        <f ca="1">A673-A670</f>
        <v>3.1999999999999994E-2</v>
      </c>
      <c r="B674" s="2" t="s">
        <v>302</v>
      </c>
      <c r="G674" s="2" t="str">
        <f ca="1">IF(F672=1,"risk-free asset","market portfolio")</f>
        <v>risk-free asset</v>
      </c>
    </row>
    <row r="675" spans="1:8" ht="16" thickBot="1" x14ac:dyDescent="0.4"/>
    <row r="676" spans="1:8" ht="16.5" thickTop="1" thickBot="1" x14ac:dyDescent="0.4">
      <c r="B676" s="76" t="str">
        <f ca="1">[1]!alpha_ans($C$676)</f>
        <v>D</v>
      </c>
      <c r="C676" s="79" t="str">
        <f ca="1" xml:space="preserve"> "/\" &amp;RANDBETWEEN( 1,5) &amp; "/\" &amp;RANDBETWEEN( 1,120) &amp; "/\" &amp;RANDBETWEEN( 1,6) &amp; "/\" &amp;RANDBETWEEN( 1,2) &amp; "/\" &amp; F673 &amp; "/\" &amp; "Mask" &amp; "/\" &amp; "Mask" &amp; "/\" &amp; G673 &amp; "/\" &amp; G674</f>
        <v>/\4/\10/\1/\1/\0.8/\Mask/\Mask/\market portfolio/\risk-free asset</v>
      </c>
      <c r="D676" s="80" t="s">
        <v>3786</v>
      </c>
    </row>
    <row r="677" spans="1:8" ht="16" thickTop="1" x14ac:dyDescent="0.35">
      <c r="B677" s="92">
        <f ca="1">[1]!onepair_A($C$676)</f>
        <v>0.8</v>
      </c>
      <c r="C677" s="82" t="str">
        <f ca="1">[1]!onepair_A2($C$676)</f>
        <v>risk-free asset</v>
      </c>
      <c r="D677" s="77"/>
    </row>
    <row r="678" spans="1:8" x14ac:dyDescent="0.35">
      <c r="B678" s="92">
        <f ca="1">[1]!onepair_B($C$676)</f>
        <v>0.92</v>
      </c>
      <c r="C678" s="82" t="str">
        <f ca="1">[1]!onepair_B2($C$676)</f>
        <v>risk-free asset</v>
      </c>
      <c r="D678" s="77"/>
    </row>
    <row r="679" spans="1:8" x14ac:dyDescent="0.35">
      <c r="B679" s="92">
        <f ca="1">[1]!onepair_C($C$676)</f>
        <v>1.0580000000000001</v>
      </c>
      <c r="C679" s="82" t="str">
        <f ca="1">[1]!onepair_C2($C$676)</f>
        <v>market portfolio</v>
      </c>
      <c r="D679" s="77"/>
    </row>
    <row r="680" spans="1:8" x14ac:dyDescent="0.35">
      <c r="B680" s="92">
        <f ca="1">[1]!onepair_D($C$676)</f>
        <v>0.8</v>
      </c>
      <c r="C680" s="82" t="str">
        <f ca="1">[1]!onepair_D2($C$676)</f>
        <v>market portfolio</v>
      </c>
      <c r="D680" s="77"/>
    </row>
    <row r="681" spans="1:8" ht="16" thickBot="1" x14ac:dyDescent="0.4">
      <c r="B681" s="93">
        <f ca="1">[1]!onepair_E($C$676)</f>
        <v>0.92</v>
      </c>
      <c r="C681" s="84" t="str">
        <f ca="1">[1]!onepair_E2($C$676)</f>
        <v>market portfolio</v>
      </c>
      <c r="D681" s="78"/>
    </row>
    <row r="682" spans="1:8" ht="16" thickTop="1" x14ac:dyDescent="0.35"/>
    <row r="684" spans="1:8" x14ac:dyDescent="0.35">
      <c r="A684" s="347" t="s">
        <v>82</v>
      </c>
    </row>
    <row r="685" spans="1:8" x14ac:dyDescent="0.35">
      <c r="A685" s="7">
        <f ca="1">RANDBETWEEN(25,50)/1000</f>
        <v>3.5999999999999997E-2</v>
      </c>
      <c r="B685" s="2" t="s">
        <v>83</v>
      </c>
      <c r="F685" s="29">
        <f ca="1">A685+(A686+A687)/2</f>
        <v>8.7499999999999994E-2</v>
      </c>
      <c r="G685" s="2" t="s">
        <v>84</v>
      </c>
      <c r="H685" s="29">
        <f ca="1">ROUND(F685*vMask20,3)</f>
        <v>0.109</v>
      </c>
    </row>
    <row r="686" spans="1:8" x14ac:dyDescent="0.35">
      <c r="A686" s="7">
        <f ca="1">RANDBETWEEN(25,70)/1000</f>
        <v>5.1999999999999998E-2</v>
      </c>
      <c r="B686" s="2" t="s">
        <v>3613</v>
      </c>
      <c r="F686" s="29">
        <f ca="1">A685+(A686+A687+2*A688)/4</f>
        <v>9.0749999999999997E-2</v>
      </c>
      <c r="G686" s="2" t="s">
        <v>85</v>
      </c>
      <c r="H686" s="29">
        <f ca="1">ROUND(F686*vMask20,4)</f>
        <v>0.1134</v>
      </c>
    </row>
    <row r="687" spans="1:8" x14ac:dyDescent="0.35">
      <c r="A687" s="7">
        <f ca="1">RANDBETWEEN(25,70)/1000</f>
        <v>5.0999999999999997E-2</v>
      </c>
      <c r="B687" s="2" t="s">
        <v>3614</v>
      </c>
      <c r="F687" s="29">
        <f ca="1">A685+(A686+A687+18*A688)/20</f>
        <v>9.3349999999999989E-2</v>
      </c>
      <c r="G687" s="2" t="s">
        <v>86</v>
      </c>
      <c r="H687" s="29">
        <f ca="1">ROUND(F687*vMask20,4)</f>
        <v>0.1167</v>
      </c>
    </row>
    <row r="688" spans="1:8" x14ac:dyDescent="0.35">
      <c r="A688" s="7">
        <f ca="1">ROUND((1+RANDBETWEEN(8,13)/100)^(IF(RANDBETWEEN(0,1)=0,1,-1))*(A686+A687)/2,3)</f>
        <v>5.8000000000000003E-2</v>
      </c>
      <c r="B688" s="2" t="s">
        <v>3612</v>
      </c>
    </row>
    <row r="689" spans="1:7" ht="16" thickBot="1" x14ac:dyDescent="0.4"/>
    <row r="690" spans="1:7" ht="16.5" thickTop="1" thickBot="1" x14ac:dyDescent="0.4">
      <c r="B690" s="76" t="str">
        <f ca="1">[1]!alpha_ans($C$690)</f>
        <v>A</v>
      </c>
      <c r="C690" s="79" t="str">
        <f ca="1" xml:space="preserve"> "/\" &amp;RANDBETWEEN( 1,5) &amp; "/\" &amp;RANDBETWEEN( 1,3) &amp; "/\" &amp;RANDBETWEEN( 1,2) &amp; "/\" &amp;F685 &amp; "/\" &amp; H685 &amp; "/\" &amp; F686 &amp; "/\" &amp; H686 &amp; "/\" &amp; F687 &amp; "/\" &amp; H687</f>
        <v>/\1/\1/\1/\0.0875/\0.109/\0.09075/\0.1134/\0.09335/\0.1167</v>
      </c>
      <c r="D690" s="80" t="s">
        <v>1267</v>
      </c>
    </row>
    <row r="691" spans="1:7" ht="16" thickTop="1" x14ac:dyDescent="0.35">
      <c r="B691" s="134">
        <f ca="1">VALUE([1]!complexV_A($C$690))</f>
        <v>8.7499999999999994E-2</v>
      </c>
      <c r="C691" s="82"/>
      <c r="D691" s="77"/>
    </row>
    <row r="692" spans="1:7" x14ac:dyDescent="0.35">
      <c r="B692" s="134">
        <f ca="1">VALUE([1]!complexV_B($C$690))</f>
        <v>0.1134</v>
      </c>
      <c r="C692" s="82"/>
      <c r="D692" s="77"/>
    </row>
    <row r="693" spans="1:7" x14ac:dyDescent="0.35">
      <c r="B693" s="134">
        <f ca="1">VALUE([1]!complexV_C($C$690))</f>
        <v>0.1167</v>
      </c>
      <c r="C693" s="82"/>
      <c r="D693" s="77"/>
    </row>
    <row r="694" spans="1:7" x14ac:dyDescent="0.35">
      <c r="B694" s="81" t="str">
        <f ca="1">[1]!complexV_D($C$690)</f>
        <v>Two choices, A and B, are correct</v>
      </c>
      <c r="C694" s="82"/>
      <c r="D694" s="77"/>
    </row>
    <row r="695" spans="1:7" ht="16" thickBot="1" x14ac:dyDescent="0.4">
      <c r="B695" s="83" t="str">
        <f ca="1">[1]!complexV_E($C$690)</f>
        <v>The three A-B-C choices are all correct</v>
      </c>
      <c r="C695" s="84"/>
      <c r="D695" s="78"/>
    </row>
    <row r="696" spans="1:7" ht="16" thickTop="1" x14ac:dyDescent="0.35"/>
    <row r="698" spans="1:7" x14ac:dyDescent="0.35">
      <c r="A698" s="347" t="s">
        <v>824</v>
      </c>
    </row>
    <row r="699" spans="1:7" x14ac:dyDescent="0.35">
      <c r="A699" s="7">
        <f ca="1">RANDBETWEEN(35,85)/1000</f>
        <v>7.6999999999999999E-2</v>
      </c>
      <c r="B699" s="2" t="s">
        <v>825</v>
      </c>
      <c r="F699" s="34">
        <f ca="1">1-A701</f>
        <v>0.63</v>
      </c>
      <c r="G699" s="2" t="s">
        <v>1152</v>
      </c>
    </row>
    <row r="700" spans="1:7" x14ac:dyDescent="0.35">
      <c r="A700" s="7">
        <f ca="1">RANDBETWEEN(7,120)/1000</f>
        <v>2.3E-2</v>
      </c>
      <c r="B700" s="2" t="s">
        <v>826</v>
      </c>
      <c r="F700" s="29">
        <f ca="1">A701*A704*(1-A702)+F699*F701</f>
        <v>8.3594700000000008E-2</v>
      </c>
      <c r="G700" s="2" t="s">
        <v>1154</v>
      </c>
    </row>
    <row r="701" spans="1:7" x14ac:dyDescent="0.35">
      <c r="A701" s="252">
        <f ca="1">RANDBETWEEN(25,70)/100</f>
        <v>0.37</v>
      </c>
      <c r="B701" s="2" t="s">
        <v>2534</v>
      </c>
      <c r="F701" s="14">
        <f ca="1">A699+A703*A700</f>
        <v>0.10161000000000001</v>
      </c>
      <c r="G701" s="2" t="s">
        <v>1156</v>
      </c>
    </row>
    <row r="702" spans="1:7" x14ac:dyDescent="0.35">
      <c r="A702" s="252">
        <f ca="1">RANDBETWEEN(25,37)/100</f>
        <v>0.37</v>
      </c>
      <c r="B702" s="2" t="s">
        <v>1038</v>
      </c>
    </row>
    <row r="703" spans="1:7" x14ac:dyDescent="0.35">
      <c r="A703" s="115">
        <f ca="1">RANDBETWEEN(70,150)/100</f>
        <v>1.07</v>
      </c>
      <c r="B703" s="2" t="s">
        <v>1153</v>
      </c>
    </row>
    <row r="704" spans="1:7" x14ac:dyDescent="0.35">
      <c r="A704" s="7">
        <f ca="1">ROUND(A699+A700/3*(1+RANDBETWEEN(8,13)/100)^(IF(RANDBETWEEN(0,1)=0,1,-1)),3)</f>
        <v>8.4000000000000005E-2</v>
      </c>
      <c r="B704" s="2" t="s">
        <v>1155</v>
      </c>
    </row>
    <row r="705" spans="1:7" ht="16" thickBot="1" x14ac:dyDescent="0.4"/>
    <row r="706" spans="1:7" ht="16.5" thickTop="1" thickBot="1" x14ac:dyDescent="0.4">
      <c r="B706" s="76" t="str">
        <f ca="1">[1]!std_ans($C$706)</f>
        <v>C</v>
      </c>
      <c r="C706" s="79" t="str">
        <f ca="1" xml:space="preserve"> "/\" &amp;RANDBETWEEN( 1,120) &amp; "/\" &amp;RANDBETWEEN( 1,120) &amp; "/\" &amp;0.1 &amp; "/\" &amp; F700</f>
        <v>/\43/\81/\0.1/\0.0835947</v>
      </c>
      <c r="D706" s="80" t="s">
        <v>1157</v>
      </c>
    </row>
    <row r="707" spans="1:7" ht="16" thickTop="1" x14ac:dyDescent="0.35">
      <c r="B707" s="92">
        <f ca="1">[1]!stdnum_A($C$706)</f>
        <v>6.9086528925619825E-2</v>
      </c>
      <c r="C707" s="82"/>
      <c r="D707" s="77"/>
    </row>
    <row r="708" spans="1:7" x14ac:dyDescent="0.35">
      <c r="B708" s="92">
        <f ca="1">[1]!stdnum_B($C$706)</f>
        <v>9.1954170000000002E-2</v>
      </c>
      <c r="C708" s="82"/>
      <c r="D708" s="77"/>
    </row>
    <row r="709" spans="1:7" x14ac:dyDescent="0.35">
      <c r="B709" s="92">
        <f ca="1">[1]!stdnum_C($C$706)</f>
        <v>8.3594699999999994E-2</v>
      </c>
      <c r="C709" s="82"/>
      <c r="D709" s="77"/>
    </row>
    <row r="710" spans="1:7" x14ac:dyDescent="0.35">
      <c r="B710" s="92">
        <f ca="1">[1]!stdnum_D($C$706)</f>
        <v>7.5995181818181809E-2</v>
      </c>
      <c r="C710" s="82"/>
      <c r="D710" s="77"/>
    </row>
    <row r="711" spans="1:7" ht="16" thickBot="1" x14ac:dyDescent="0.4">
      <c r="B711" s="93">
        <f ca="1">[1]!stdnum_E($C$706)</f>
        <v>6.2805935386927095E-2</v>
      </c>
      <c r="C711" s="84"/>
      <c r="D711" s="78"/>
    </row>
    <row r="712" spans="1:7" ht="16" thickTop="1" x14ac:dyDescent="0.35"/>
    <row r="714" spans="1:7" x14ac:dyDescent="0.35">
      <c r="A714" s="347" t="s">
        <v>1158</v>
      </c>
    </row>
    <row r="715" spans="1:7" x14ac:dyDescent="0.35">
      <c r="A715" s="7">
        <f ca="1">RANDBETWEEN(35,85)/1000</f>
        <v>5.6000000000000001E-2</v>
      </c>
      <c r="B715" s="2" t="s">
        <v>825</v>
      </c>
      <c r="F715" s="34">
        <f ca="1">1-A717</f>
        <v>0.38</v>
      </c>
      <c r="G715" s="2" t="s">
        <v>1152</v>
      </c>
    </row>
    <row r="716" spans="1:7" x14ac:dyDescent="0.35">
      <c r="A716" s="7">
        <f ca="1">RANDBETWEEN(50,120)/1000</f>
        <v>0.108</v>
      </c>
      <c r="B716" s="2" t="s">
        <v>826</v>
      </c>
      <c r="F716" s="29">
        <f ca="1">A717*A720*(1-A718)+F715*F717</f>
        <v>0.1144752</v>
      </c>
      <c r="G716" s="2" t="s">
        <v>1154</v>
      </c>
    </row>
    <row r="717" spans="1:7" x14ac:dyDescent="0.35">
      <c r="A717" s="252">
        <f ca="1">RANDBETWEEN(25,70)/100</f>
        <v>0.62</v>
      </c>
      <c r="B717" s="2" t="s">
        <v>2534</v>
      </c>
      <c r="F717" s="14">
        <f ca="1">A715+A719*A716</f>
        <v>0.20935999999999999</v>
      </c>
      <c r="G717" s="2" t="s">
        <v>1156</v>
      </c>
    </row>
    <row r="718" spans="1:7" x14ac:dyDescent="0.35">
      <c r="A718" s="252">
        <f ca="1">RANDBETWEEN(25,37)/100</f>
        <v>0.36</v>
      </c>
      <c r="B718" s="2" t="s">
        <v>1038</v>
      </c>
      <c r="F718" s="10">
        <f ca="1">A722/F716-A721</f>
        <v>29780.857338532711</v>
      </c>
      <c r="G718" s="2" t="s">
        <v>1041</v>
      </c>
    </row>
    <row r="719" spans="1:7" x14ac:dyDescent="0.35">
      <c r="A719" s="115">
        <f ca="1">RANDBETWEEN(70,150)/100</f>
        <v>1.42</v>
      </c>
      <c r="B719" s="2" t="s">
        <v>1153</v>
      </c>
    </row>
    <row r="720" spans="1:7" x14ac:dyDescent="0.35">
      <c r="A720" s="7">
        <f ca="1">ROUND(A715+A716/3*(1+RANDBETWEEN(8,13)/100)^(IF(RANDBETWEEN(0,1)=0,1,-1)),3)</f>
        <v>8.7999999999999995E-2</v>
      </c>
      <c r="B720" s="2" t="s">
        <v>1155</v>
      </c>
    </row>
    <row r="721" spans="1:6" x14ac:dyDescent="0.35">
      <c r="A721" s="8">
        <f ca="1">RANDBETWEEN(18,32)*1000</f>
        <v>27000</v>
      </c>
      <c r="B721" s="2" t="s">
        <v>1107</v>
      </c>
    </row>
    <row r="722" spans="1:6" x14ac:dyDescent="0.35">
      <c r="A722" s="8">
        <f ca="1">RANDBETWEEN(8,14)*500</f>
        <v>6500</v>
      </c>
      <c r="B722" s="2" t="s">
        <v>1372</v>
      </c>
      <c r="E722" s="14"/>
    </row>
    <row r="723" spans="1:6" ht="16" thickBot="1" x14ac:dyDescent="0.4">
      <c r="A723" s="14"/>
    </row>
    <row r="724" spans="1:6" ht="16.5" thickTop="1" thickBot="1" x14ac:dyDescent="0.4">
      <c r="B724" s="76" t="str">
        <f ca="1">[1]!std_ans($C$724)</f>
        <v>D</v>
      </c>
      <c r="C724" s="79" t="str">
        <f ca="1" xml:space="preserve"> "/\" &amp;RANDBETWEEN( 1,120) &amp; "/\" &amp;RANDBETWEEN( 1,120) &amp; "/\" &amp;0.1 &amp; "/\" &amp; F718</f>
        <v>/\95/\9/\0.1/\29780.8573385327</v>
      </c>
      <c r="D724" s="80" t="s">
        <v>1159</v>
      </c>
    </row>
    <row r="725" spans="1:6" ht="16" thickTop="1" x14ac:dyDescent="0.35">
      <c r="B725" s="101">
        <f ca="1">[1]!stdnum_A($C$724)</f>
        <v>32758.943072385973</v>
      </c>
      <c r="C725" s="82"/>
      <c r="D725" s="77"/>
    </row>
    <row r="726" spans="1:6" x14ac:dyDescent="0.35">
      <c r="B726" s="101">
        <f ca="1">[1]!stdnum_B($C$724)</f>
        <v>43602.153229345735</v>
      </c>
      <c r="C726" s="82"/>
      <c r="D726" s="77"/>
    </row>
    <row r="727" spans="1:6" x14ac:dyDescent="0.35">
      <c r="B727" s="101">
        <f ca="1">[1]!stdnum_C($C$724)</f>
        <v>39638.321117587038</v>
      </c>
      <c r="C727" s="82"/>
      <c r="D727" s="77"/>
    </row>
    <row r="728" spans="1:6" x14ac:dyDescent="0.35">
      <c r="B728" s="101">
        <f ca="1">[1]!stdnum_D($C$724)</f>
        <v>29780.8573385327</v>
      </c>
      <c r="C728" s="82"/>
      <c r="D728" s="77"/>
    </row>
    <row r="729" spans="1:6" ht="16" thickBot="1" x14ac:dyDescent="0.4">
      <c r="B729" s="102">
        <f ca="1">[1]!stdnum_E($C$724)</f>
        <v>36034.837379624572</v>
      </c>
      <c r="C729" s="84"/>
      <c r="D729" s="78"/>
    </row>
    <row r="730" spans="1:6" ht="16" thickTop="1" x14ac:dyDescent="0.35"/>
    <row r="732" spans="1:6" x14ac:dyDescent="0.35">
      <c r="A732" s="88" t="s">
        <v>2404</v>
      </c>
    </row>
    <row r="733" spans="1:6" x14ac:dyDescent="0.35">
      <c r="A733" s="20">
        <f ca="1">A734+A735+RANDBETWEEN(5,10)*1850</f>
        <v>85200</v>
      </c>
      <c r="B733" s="2" t="s">
        <v>181</v>
      </c>
      <c r="E733" s="23">
        <f ca="1">RANDBETWEEN(5,7)*5/100</f>
        <v>0.3</v>
      </c>
      <c r="F733" s="2" t="s">
        <v>1038</v>
      </c>
    </row>
    <row r="734" spans="1:6" x14ac:dyDescent="0.35">
      <c r="A734" s="20">
        <f ca="1">RANDBETWEEN(5,10)*5050</f>
        <v>45450</v>
      </c>
      <c r="B734" s="2" t="s">
        <v>3104</v>
      </c>
      <c r="E734" s="233">
        <f ca="1">A734/A733</f>
        <v>0.53345070422535212</v>
      </c>
      <c r="F734" s="2" t="s">
        <v>3105</v>
      </c>
    </row>
    <row r="735" spans="1:6" x14ac:dyDescent="0.35">
      <c r="A735" s="20">
        <f ca="1">RANDBETWEEN(5,10)*4250</f>
        <v>21250</v>
      </c>
      <c r="B735" s="2" t="s">
        <v>1377</v>
      </c>
      <c r="E735" s="20">
        <f ca="1">E736*(1-E734)-A735</f>
        <v>23117.857142857145</v>
      </c>
      <c r="F735" s="2" t="s">
        <v>1249</v>
      </c>
    </row>
    <row r="736" spans="1:6" x14ac:dyDescent="0.35">
      <c r="A736" s="234">
        <f ca="1">A733-A734-A735</f>
        <v>18500</v>
      </c>
      <c r="B736" s="2" t="s">
        <v>1379</v>
      </c>
      <c r="E736" s="20">
        <f ca="1">(A735+A737+(A739+A740)/(1-E733))/(1-E734)</f>
        <v>95097.897574123999</v>
      </c>
      <c r="F736" s="2" t="s">
        <v>1248</v>
      </c>
    </row>
    <row r="737" spans="1:8" x14ac:dyDescent="0.35">
      <c r="A737" s="20">
        <f ca="1">RANDBETWEEN(5,10)*425</f>
        <v>2975</v>
      </c>
      <c r="B737" s="2" t="s">
        <v>1380</v>
      </c>
      <c r="E737" s="20">
        <f ca="1">E734*E736</f>
        <v>50730.040431266854</v>
      </c>
      <c r="F737" s="2" t="s">
        <v>2405</v>
      </c>
    </row>
    <row r="738" spans="1:8" x14ac:dyDescent="0.35">
      <c r="A738" s="234">
        <f ca="1">(A736-A737)*E733</f>
        <v>4657.5</v>
      </c>
      <c r="B738" s="2" t="s">
        <v>1381</v>
      </c>
      <c r="E738" s="115"/>
    </row>
    <row r="739" spans="1:8" x14ac:dyDescent="0.35">
      <c r="A739" s="20">
        <v>0</v>
      </c>
      <c r="B739" s="2" t="s">
        <v>1382</v>
      </c>
    </row>
    <row r="740" spans="1:8" x14ac:dyDescent="0.35">
      <c r="A740" s="20">
        <f ca="1">MROUND(C740*1.3,100)</f>
        <v>14100</v>
      </c>
      <c r="B740" s="2" t="s">
        <v>1247</v>
      </c>
      <c r="C740" s="10">
        <f ca="1">A736-A737-A738-A739</f>
        <v>10867.5</v>
      </c>
    </row>
    <row r="741" spans="1:8" ht="16" thickBot="1" x14ac:dyDescent="0.4">
      <c r="B741" s="88" t="s">
        <v>2407</v>
      </c>
      <c r="F741" s="88" t="s">
        <v>2409</v>
      </c>
    </row>
    <row r="742" spans="1:8" ht="16.5" thickTop="1" thickBot="1" x14ac:dyDescent="0.4">
      <c r="B742" s="76" t="str">
        <f ca="1">[1]!std_ans($C$742)</f>
        <v>A</v>
      </c>
      <c r="C742" s="79" t="str">
        <f ca="1" xml:space="preserve"> "/\" &amp;RANDBETWEEN( 1,120) &amp; "/\" &amp;RANDBETWEEN( 1,120) &amp; "/\" &amp;0.1 &amp; "/\" &amp; E736</f>
        <v>/\11/\2/\0.1/\95097.897574124</v>
      </c>
      <c r="D742" s="80" t="s">
        <v>2406</v>
      </c>
      <c r="F742" s="76" t="str">
        <f ca="1">[1]!alpha_ans($G$742)</f>
        <v>D</v>
      </c>
      <c r="G742" s="79" t="str">
        <f ca="1" xml:space="preserve"> "/\" &amp;RANDBETWEEN( 1,5) &amp; "/\" &amp;RANDBETWEEN( 1,120) &amp; "/\" &amp;RANDBETWEEN( 1,6) &amp; "/\" &amp;RANDBETWEEN( 1,2) &amp; "/\" &amp; E736 &amp; "/\" &amp; "Mask" &amp; "/\" &amp; "Mask" &amp; "/\" &amp; E737 &amp; "/\" &amp; "Mask"</f>
        <v>/\4/\101/\4/\2/\95097.897574124/\Mask/\Mask/\50730.0404312669/\Mask</v>
      </c>
      <c r="H742" s="80" t="s">
        <v>2408</v>
      </c>
    </row>
    <row r="743" spans="1:8" ht="16" thickTop="1" x14ac:dyDescent="0.35">
      <c r="B743" s="110">
        <f ca="1">[1]!stdnum_A($C$742)</f>
        <v>95097.897574123999</v>
      </c>
      <c r="C743" s="82"/>
      <c r="D743" s="77"/>
      <c r="F743" s="101">
        <f ca="1">[1]!onepair_A($G$742)</f>
        <v>82693.823977499094</v>
      </c>
      <c r="G743" s="142">
        <f ca="1">[1]!onepair_A2($G$742)</f>
        <v>58339.5464959569</v>
      </c>
      <c r="H743" s="77"/>
    </row>
    <row r="744" spans="1:8" x14ac:dyDescent="0.35">
      <c r="B744" s="110">
        <f ca="1">[1]!stdnum_B($C$742)</f>
        <v>115068.45606469005</v>
      </c>
      <c r="C744" s="82"/>
      <c r="D744" s="77"/>
      <c r="F744" s="101">
        <f ca="1">[1]!onepair_B($G$742)</f>
        <v>95097.897574123999</v>
      </c>
      <c r="G744" s="142">
        <f ca="1">[1]!onepair_B2($G$742)</f>
        <v>58339.5464959569</v>
      </c>
      <c r="H744" s="77"/>
    </row>
    <row r="745" spans="1:8" x14ac:dyDescent="0.35">
      <c r="B745" s="110">
        <f ca="1">[1]!stdnum_C($C$742)</f>
        <v>126575.30167115908</v>
      </c>
      <c r="C745" s="82"/>
      <c r="D745" s="77"/>
      <c r="F745" s="101">
        <f ca="1">[1]!onepair_C($G$742)</f>
        <v>82693.823977499094</v>
      </c>
      <c r="G745" s="142">
        <f ca="1">[1]!onepair_C2($G$742)</f>
        <v>50730.040431266898</v>
      </c>
      <c r="H745" s="77"/>
    </row>
    <row r="746" spans="1:8" x14ac:dyDescent="0.35">
      <c r="B746" s="110">
        <f ca="1">[1]!stdnum_D($C$742)</f>
        <v>104607.68733153641</v>
      </c>
      <c r="C746" s="82"/>
      <c r="D746" s="77"/>
      <c r="F746" s="101">
        <f ca="1">[1]!onepair_D($G$742)</f>
        <v>95097.897574123999</v>
      </c>
      <c r="G746" s="142">
        <f ca="1">[1]!onepair_D2($G$742)</f>
        <v>50730.040431266898</v>
      </c>
      <c r="H746" s="77"/>
    </row>
    <row r="747" spans="1:8" ht="16" thickBot="1" x14ac:dyDescent="0.4">
      <c r="B747" s="111">
        <f ca="1">[1]!stdnum_E($C$742)</f>
        <v>139232.83183827499</v>
      </c>
      <c r="C747" s="84"/>
      <c r="D747" s="78"/>
      <c r="F747" s="102">
        <f ca="1">[1]!onepair_E($G$742)</f>
        <v>109362.582210243</v>
      </c>
      <c r="G747" s="320">
        <f ca="1">[1]!onepair_E2($G$742)</f>
        <v>58339.5464959569</v>
      </c>
      <c r="H747" s="78"/>
    </row>
    <row r="748" spans="1:8" ht="16" thickTop="1" x14ac:dyDescent="0.35"/>
    <row r="750" spans="1:8" x14ac:dyDescent="0.35">
      <c r="A750" s="88" t="s">
        <v>24</v>
      </c>
    </row>
    <row r="751" spans="1:8" x14ac:dyDescent="0.35">
      <c r="A751" s="7">
        <f ca="1">RANDBETWEEN(35,85)/1000</f>
        <v>7.0000000000000007E-2</v>
      </c>
      <c r="B751" s="2" t="s">
        <v>825</v>
      </c>
      <c r="F751" s="233">
        <f ca="1">(A752-A751)/A753</f>
        <v>0.22727272727272727</v>
      </c>
      <c r="G751" s="2" t="s">
        <v>20</v>
      </c>
    </row>
    <row r="752" spans="1:8" x14ac:dyDescent="0.35">
      <c r="A752" s="7">
        <f ca="1">A751+RANDBETWEEN(30,90)/1000</f>
        <v>0.115</v>
      </c>
      <c r="B752" s="2" t="s">
        <v>21</v>
      </c>
      <c r="F752" s="7">
        <f ca="1">IF(F751*A754*A755&lt;0.015,"#RECALCULATE",F751*A754*A755)</f>
        <v>1.9636363636363636E-2</v>
      </c>
      <c r="G752" s="2" t="s">
        <v>19</v>
      </c>
    </row>
    <row r="753" spans="1:8" x14ac:dyDescent="0.35">
      <c r="A753" s="7">
        <f ca="1">ROUND(RANDBETWEEN(24,40)*6/1000,3)</f>
        <v>0.19800000000000001</v>
      </c>
      <c r="B753" s="2" t="s">
        <v>2929</v>
      </c>
      <c r="F753" s="244">
        <f ca="1">IF(F751*A754*A755&lt;0.01,"#RECALCULATE",A751+F752)</f>
        <v>8.9636363636363639E-2</v>
      </c>
      <c r="G753" s="2" t="s">
        <v>23</v>
      </c>
    </row>
    <row r="754" spans="1:8" x14ac:dyDescent="0.35">
      <c r="A754" s="7">
        <f ca="1">ROUND(RANDBETWEEN(24,40)*5/1000,3)</f>
        <v>0.13500000000000001</v>
      </c>
      <c r="B754" s="2" t="s">
        <v>18</v>
      </c>
    </row>
    <row r="755" spans="1:8" x14ac:dyDescent="0.35">
      <c r="A755" s="115">
        <f ca="1">RANDBETWEEN(20,85)/100</f>
        <v>0.64</v>
      </c>
      <c r="B755" s="2" t="s">
        <v>2967</v>
      </c>
    </row>
    <row r="757" spans="1:8" ht="16" thickBot="1" x14ac:dyDescent="0.4">
      <c r="B757" s="88" t="s">
        <v>26</v>
      </c>
      <c r="F757" s="88" t="s">
        <v>27</v>
      </c>
    </row>
    <row r="758" spans="1:8" ht="16.5" thickTop="1" thickBot="1" x14ac:dyDescent="0.4">
      <c r="B758" s="76" t="str">
        <f ca="1">[1]!std_ans($C$758)</f>
        <v>A</v>
      </c>
      <c r="C758" s="79" t="str">
        <f ca="1" xml:space="preserve"> "/\" &amp;RANDBETWEEN( 1,120) &amp; "/\" &amp;RANDBETWEEN( 1,120) &amp; "/\" &amp;0.2 &amp; "/\" &amp; F752</f>
        <v>/\8/\100/\0.2/\0.0196363636363636</v>
      </c>
      <c r="D758" s="80" t="s">
        <v>22</v>
      </c>
      <c r="F758" s="76" t="str">
        <f ca="1">[1]!alpha_ans($G$758)</f>
        <v>C</v>
      </c>
      <c r="G758" s="79" t="str">
        <f ca="1" xml:space="preserve"> "/\" &amp;RANDBETWEEN( 1,5) &amp; "/\" &amp;RANDBETWEEN( 1,120) &amp; "/\" &amp;RANDBETWEEN( 1,6) &amp; "/\" &amp;RANDBETWEEN( 1,2) &amp; "/\" &amp; F753 &amp; "/\" &amp; "Mask" &amp; "/\" &amp; "Mask" &amp; "/\" &amp; F752 &amp; "/\" &amp; "Mask"</f>
        <v>/\3/\30/\3/\2/\0.0896363636363636/\Mask/\Mask/\0.0196363636363636/\Mask</v>
      </c>
      <c r="H758" s="80" t="s">
        <v>25</v>
      </c>
    </row>
    <row r="759" spans="1:8" ht="16" thickTop="1" x14ac:dyDescent="0.35">
      <c r="B759" s="92">
        <f ca="1">[1]!stdnum_A($C$758)</f>
        <v>1.9636363636363601E-2</v>
      </c>
      <c r="C759" s="82"/>
      <c r="D759" s="77"/>
      <c r="F759" s="92">
        <f ca="1">[1]!onepair_A($G$758)</f>
        <v>7.7944664031620495E-2</v>
      </c>
      <c r="G759" s="242">
        <f ca="1">[1]!onepair_A2($G$758)</f>
        <v>1.9636363636363601E-2</v>
      </c>
      <c r="H759" s="77"/>
    </row>
    <row r="760" spans="1:8" x14ac:dyDescent="0.35">
      <c r="B760" s="92">
        <f ca="1">[1]!stdnum_B($C$758)</f>
        <v>1.3636363636363613E-2</v>
      </c>
      <c r="C760" s="82"/>
      <c r="D760" s="77"/>
      <c r="F760" s="92">
        <f ca="1">[1]!onepair_B($G$758)</f>
        <v>8.9636363636363597E-2</v>
      </c>
      <c r="G760" s="242">
        <f ca="1">[1]!onepair_B2($G$758)</f>
        <v>2.2581818181818099E-2</v>
      </c>
      <c r="H760" s="77"/>
    </row>
    <row r="761" spans="1:8" x14ac:dyDescent="0.35">
      <c r="B761" s="92">
        <f ca="1">[1]!stdnum_C($C$758)</f>
        <v>9.4696969696969543E-3</v>
      </c>
      <c r="C761" s="82"/>
      <c r="D761" s="77"/>
      <c r="F761" s="92">
        <f ca="1">[1]!onepair_C($G$758)</f>
        <v>8.9636363636363597E-2</v>
      </c>
      <c r="G761" s="242">
        <f ca="1">[1]!onepair_C2($G$758)</f>
        <v>1.9636363636363601E-2</v>
      </c>
      <c r="H761" s="77"/>
    </row>
    <row r="762" spans="1:8" x14ac:dyDescent="0.35">
      <c r="B762" s="92">
        <f ca="1">[1]!stdnum_D($C$758)</f>
        <v>1.1363636363636343E-2</v>
      </c>
      <c r="C762" s="82"/>
      <c r="D762" s="77"/>
      <c r="F762" s="92">
        <f ca="1">[1]!onepair_D($G$758)</f>
        <v>0.103081818181818</v>
      </c>
      <c r="G762" s="242">
        <f ca="1">[1]!onepair_D2($G$758)</f>
        <v>1.9636363636363601E-2</v>
      </c>
      <c r="H762" s="77"/>
    </row>
    <row r="763" spans="1:8" ht="16" thickBot="1" x14ac:dyDescent="0.4">
      <c r="B763" s="93">
        <f ca="1">[1]!stdnum_E($C$758)</f>
        <v>1.6363636363636334E-2</v>
      </c>
      <c r="C763" s="84"/>
      <c r="D763" s="78"/>
      <c r="F763" s="93">
        <f ca="1">[1]!onepair_E($G$758)</f>
        <v>7.7944664031620495E-2</v>
      </c>
      <c r="G763" s="299">
        <f ca="1">[1]!onepair_E2($G$758)</f>
        <v>2.2581818181818099E-2</v>
      </c>
      <c r="H763" s="78"/>
    </row>
    <row r="764" spans="1:8" ht="16" thickTop="1" x14ac:dyDescent="0.35"/>
    <row r="766" spans="1:8" x14ac:dyDescent="0.35">
      <c r="A766" s="88" t="s">
        <v>2421</v>
      </c>
    </row>
    <row r="767" spans="1:8" x14ac:dyDescent="0.35">
      <c r="A767" s="244">
        <f ca="1">RANDBETWEEN(16,44)*5/1000</f>
        <v>0.16</v>
      </c>
      <c r="B767" s="2" t="s">
        <v>3756</v>
      </c>
      <c r="F767" s="244">
        <f ca="1">(A770^2*A767^2+(1-A770)^2*A768^2+2*A770*(1-A770)*A767*A768*A769)^0.5</f>
        <v>0.11676043850551436</v>
      </c>
      <c r="G767" s="2" t="s">
        <v>3572</v>
      </c>
    </row>
    <row r="768" spans="1:8" x14ac:dyDescent="0.35">
      <c r="A768" s="244">
        <f ca="1">IF(D768=A767,(IF(RANDBETWEEN(0,1)=0,1/1.2,1.2))*A767,D768)</f>
        <v>0.11</v>
      </c>
      <c r="B768" s="2" t="s">
        <v>3757</v>
      </c>
      <c r="D768" s="246">
        <f ca="1">RANDBETWEEN(16,44)*5/1000</f>
        <v>0.11</v>
      </c>
      <c r="F768" s="244">
        <f ca="1">(A768^2-A767*A768*A769)/(A767^2+A768^2-2*A767*A768*A769)</f>
        <v>0.32095490716180375</v>
      </c>
      <c r="G768" s="2" t="s">
        <v>602</v>
      </c>
    </row>
    <row r="769" spans="1:7" x14ac:dyDescent="0.35">
      <c r="A769" s="115">
        <v>0</v>
      </c>
      <c r="B769" s="2" t="s">
        <v>3843</v>
      </c>
      <c r="F769" s="244">
        <f ca="1">1-F768</f>
        <v>0.67904509283819625</v>
      </c>
      <c r="G769" s="2" t="s">
        <v>603</v>
      </c>
    </row>
    <row r="770" spans="1:7" x14ac:dyDescent="0.35">
      <c r="A770" s="23">
        <f ca="1">RANDBETWEEN(12,16)*5/100</f>
        <v>0.7</v>
      </c>
      <c r="B770" s="2" t="s">
        <v>3571</v>
      </c>
      <c r="F770" s="244">
        <f ca="1">(F768^2*A767^2+(1-F768)^2*A768^2+2*F768*(1-F768)*A767*A768*A769)^0.5</f>
        <v>9.0644611661930441E-2</v>
      </c>
      <c r="G770" s="2" t="s">
        <v>459</v>
      </c>
    </row>
    <row r="771" spans="1:7" x14ac:dyDescent="0.35">
      <c r="A771" s="16"/>
      <c r="B771" s="16"/>
      <c r="C771" s="16"/>
      <c r="D771" s="16"/>
      <c r="E771" s="16"/>
      <c r="F771" s="25">
        <f ca="1">10000*(A770*A767+(1-A770)*A768-F767)</f>
        <v>282.39561494485628</v>
      </c>
      <c r="G771" s="2" t="s">
        <v>3638</v>
      </c>
    </row>
    <row r="772" spans="1:7" x14ac:dyDescent="0.35">
      <c r="F772" s="25">
        <f ca="1">10000*(F768*A767+F769*A768-F770)</f>
        <v>354.03133696159745</v>
      </c>
      <c r="G772" s="2" t="s">
        <v>3639</v>
      </c>
    </row>
    <row r="773" spans="1:7" x14ac:dyDescent="0.35">
      <c r="B773" s="6" t="s">
        <v>1657</v>
      </c>
      <c r="C773" s="2" t="s">
        <v>2423</v>
      </c>
    </row>
    <row r="774" spans="1:7" x14ac:dyDescent="0.35">
      <c r="B774" s="6" t="s">
        <v>1658</v>
      </c>
      <c r="C774" s="2" t="s">
        <v>1088</v>
      </c>
    </row>
    <row r="776" spans="1:7" ht="16" thickBot="1" x14ac:dyDescent="0.4"/>
    <row r="777" spans="1:7" ht="16.5" thickTop="1" thickBot="1" x14ac:dyDescent="0.4">
      <c r="B777" s="76" t="str">
        <f ca="1">[1]!alpha_ans($C$777)</f>
        <v>D</v>
      </c>
      <c r="C777" s="79" t="str">
        <f ca="1" xml:space="preserve"> "/\" &amp;RANDBETWEEN( 1,5) &amp; "/\" &amp;RANDBETWEEN( 1,120) &amp; "/\" &amp;RANDBETWEEN( 1,6) &amp; "/\" &amp;RANDBETWEEN( 1,2) &amp; "/\" &amp; F768 &amp; "/\" &amp; "Mask" &amp; "/\" &amp; "Mask" &amp; "/\" &amp; C773 &amp; "/\" &amp; C774</f>
        <v>/\4/\24/\4/\1/\0.320954907161804/\Mask/\Mask/\fewer/\greater</v>
      </c>
      <c r="D777" s="80" t="s">
        <v>2422</v>
      </c>
    </row>
    <row r="778" spans="1:7" ht="16" thickTop="1" x14ac:dyDescent="0.35">
      <c r="B778" s="92">
        <f ca="1">[1]!onepair_A($C$777)</f>
        <v>0.32095490716180403</v>
      </c>
      <c r="C778" s="82" t="str">
        <f ca="1">[1]!onepair_A2($C$777)</f>
        <v>greater</v>
      </c>
      <c r="D778" s="77"/>
    </row>
    <row r="779" spans="1:7" x14ac:dyDescent="0.35">
      <c r="B779" s="92">
        <f ca="1">[1]!onepair_B($C$777)</f>
        <v>0.27909122361895999</v>
      </c>
      <c r="C779" s="82" t="str">
        <f ca="1">[1]!onepair_B2($C$777)</f>
        <v>greater</v>
      </c>
      <c r="D779" s="77"/>
    </row>
    <row r="780" spans="1:7" x14ac:dyDescent="0.35">
      <c r="B780" s="92">
        <f ca="1">[1]!onepair_C($C$777)</f>
        <v>0.27909122361895999</v>
      </c>
      <c r="C780" s="82" t="str">
        <f ca="1">[1]!onepair_C2($C$777)</f>
        <v>fewer</v>
      </c>
      <c r="D780" s="77"/>
    </row>
    <row r="781" spans="1:7" x14ac:dyDescent="0.35">
      <c r="B781" s="92">
        <f ca="1">[1]!onepair_D($C$777)</f>
        <v>0.32095490716180403</v>
      </c>
      <c r="C781" s="82" t="str">
        <f ca="1">[1]!onepair_D2($C$777)</f>
        <v>fewer</v>
      </c>
      <c r="D781" s="77"/>
    </row>
    <row r="782" spans="1:7" ht="16" thickBot="1" x14ac:dyDescent="0.4">
      <c r="B782" s="93">
        <f ca="1">[1]!onepair_E($C$777)</f>
        <v>0.36909814323607498</v>
      </c>
      <c r="C782" s="84" t="str">
        <f ca="1">[1]!onepair_E2($C$777)</f>
        <v>fewer</v>
      </c>
      <c r="D782" s="78"/>
    </row>
    <row r="783" spans="1:7" ht="16" thickTop="1" x14ac:dyDescent="0.35"/>
    <row r="785" spans="1:6" x14ac:dyDescent="0.35">
      <c r="A785" s="88" t="s">
        <v>2424</v>
      </c>
    </row>
    <row r="786" spans="1:6" x14ac:dyDescent="0.35">
      <c r="A786" s="244">
        <f ca="1">RANDBETWEEN(90,140)/1000</f>
        <v>0.129</v>
      </c>
      <c r="B786" s="2" t="s">
        <v>2867</v>
      </c>
      <c r="E786" s="252">
        <f ca="1">IF(ABS(0.5-(A790^2-E788)/(A787^2+A790^2-2*E788))&gt;0.05,(A790^2-E788)/(A787^2+A790^2-2*E788),"#RECALCULATE")</f>
        <v>0.62461246050026953</v>
      </c>
      <c r="F786" s="2" t="s">
        <v>2426</v>
      </c>
    </row>
    <row r="787" spans="1:6" x14ac:dyDescent="0.35">
      <c r="A787" s="7">
        <f ca="1">RANDBETWEEN(260,385)/1000</f>
        <v>0.35</v>
      </c>
      <c r="B787" s="2" t="s">
        <v>2868</v>
      </c>
      <c r="E787" s="245">
        <f ca="1">1-E786</f>
        <v>0.37538753949973047</v>
      </c>
      <c r="F787" s="2" t="s">
        <v>2425</v>
      </c>
    </row>
    <row r="788" spans="1:6" x14ac:dyDescent="0.35">
      <c r="A788" s="115">
        <f ca="1">RANDBETWEEN(-10,38)/100</f>
        <v>-0.06</v>
      </c>
      <c r="B788" s="2" t="s">
        <v>2967</v>
      </c>
      <c r="E788" s="4">
        <f ca="1">ROUND(A788*A790*A787,6)</f>
        <v>-9.6290000000000004E-3</v>
      </c>
      <c r="F788" s="2" t="s">
        <v>1459</v>
      </c>
    </row>
    <row r="789" spans="1:6" x14ac:dyDescent="0.35">
      <c r="A789" s="244">
        <f ca="1">A786*(1+RANDBETWEEN(36,45)/100)^(IF(RANDBETWEEN(0,1)=0,1,-1))</f>
        <v>0.18704999999999999</v>
      </c>
      <c r="B789" s="2" t="s">
        <v>2869</v>
      </c>
      <c r="E789" s="7">
        <f ca="1">E786*A787+E787*A790</f>
        <v>0.39072954803572074</v>
      </c>
      <c r="F789" s="2" t="s">
        <v>2782</v>
      </c>
    </row>
    <row r="790" spans="1:6" x14ac:dyDescent="0.35">
      <c r="A790" s="7">
        <f ca="1">A787*(1+RANDBETWEEN(26,35)/100)^(IF(RANDBETWEEN(0,1)=0,1,-1))</f>
        <v>0.45849999999999996</v>
      </c>
      <c r="B790" s="2" t="s">
        <v>2870</v>
      </c>
      <c r="E790" s="7"/>
    </row>
    <row r="791" spans="1:6" ht="16" thickBot="1" x14ac:dyDescent="0.4"/>
    <row r="792" spans="1:6" ht="16.5" thickTop="1" thickBot="1" x14ac:dyDescent="0.4">
      <c r="B792" s="76" t="str">
        <f ca="1">[1]!alpha_ans($C$792)</f>
        <v>E</v>
      </c>
      <c r="C792" s="79" t="str">
        <f ca="1" xml:space="preserve"> "/\" &amp;RANDBETWEEN( 1,5) &amp; "/\" &amp;RANDBETWEEN( 1,120) &amp; "/\" &amp;RANDBETWEEN( 1,6) &amp; "/\" &amp;RANDBETWEEN( 1,2) &amp; "/\" &amp; E789 &amp; "/\" &amp; "Mask" &amp; "/\" &amp; "Mask" &amp; "/\" &amp; E786 &amp; "/\" &amp; "Mask"</f>
        <v>/\5/\56/\5/\1/\0.390729548035721/\Mask/\Mask/\0.62461246050027/\Mask</v>
      </c>
      <c r="D792" s="80" t="s">
        <v>2427</v>
      </c>
    </row>
    <row r="793" spans="1:6" ht="16" thickTop="1" x14ac:dyDescent="0.35">
      <c r="B793" s="92">
        <f ca="1">[1]!onepair_A($C$792)</f>
        <v>0.29544767337294597</v>
      </c>
      <c r="C793" s="242">
        <f ca="1">[1]!onepair_A2($C$792)</f>
        <v>0.54314127000023504</v>
      </c>
      <c r="D793" s="77"/>
    </row>
    <row r="794" spans="1:6" x14ac:dyDescent="0.35">
      <c r="B794" s="92">
        <f ca="1">[1]!onepair_B($C$792)</f>
        <v>0.29544767337294597</v>
      </c>
      <c r="C794" s="242">
        <f ca="1">[1]!onepair_B2($C$792)</f>
        <v>0.62461246050026997</v>
      </c>
      <c r="D794" s="77"/>
    </row>
    <row r="795" spans="1:6" x14ac:dyDescent="0.35">
      <c r="B795" s="92">
        <f ca="1">[1]!onepair_C($C$792)</f>
        <v>0.39072954803572102</v>
      </c>
      <c r="C795" s="242">
        <f ca="1">[1]!onepair_C2($C$792)</f>
        <v>0.54314127000023504</v>
      </c>
      <c r="D795" s="77"/>
    </row>
    <row r="796" spans="1:6" x14ac:dyDescent="0.35">
      <c r="B796" s="92">
        <f ca="1">[1]!onepair_D($C$792)</f>
        <v>0.339764824378888</v>
      </c>
      <c r="C796" s="242">
        <f ca="1">[1]!onepair_D2($C$792)</f>
        <v>0.54314127000023504</v>
      </c>
      <c r="D796" s="77"/>
    </row>
    <row r="797" spans="1:6" ht="16" thickBot="1" x14ac:dyDescent="0.4">
      <c r="B797" s="93">
        <f ca="1">[1]!onepair_E($C$792)</f>
        <v>0.39072954803572102</v>
      </c>
      <c r="C797" s="299">
        <f ca="1">[1]!onepair_E2($C$792)</f>
        <v>0.62461246050026997</v>
      </c>
      <c r="D797" s="78"/>
    </row>
    <row r="798" spans="1:6" ht="16" thickTop="1" x14ac:dyDescent="0.35"/>
    <row r="800" spans="1:6" x14ac:dyDescent="0.35">
      <c r="A800" s="120" t="s">
        <v>3719</v>
      </c>
    </row>
    <row r="801" spans="1:10" x14ac:dyDescent="0.35">
      <c r="A801" s="20">
        <f ca="1">A802+A803+RANDBETWEEN(5,10)*505</f>
        <v>88245</v>
      </c>
      <c r="B801" s="2" t="s">
        <v>2771</v>
      </c>
    </row>
    <row r="802" spans="1:10" x14ac:dyDescent="0.35">
      <c r="A802" s="20">
        <f ca="1">RANDBETWEEN(5,10)*5050</f>
        <v>45450</v>
      </c>
      <c r="B802" s="2" t="s">
        <v>3104</v>
      </c>
      <c r="E802" s="20">
        <f ca="1">E804*A802/A801</f>
        <v>46198.738170347002</v>
      </c>
      <c r="F802" s="2" t="s">
        <v>2448</v>
      </c>
    </row>
    <row r="803" spans="1:10" x14ac:dyDescent="0.35">
      <c r="A803" s="20">
        <f ca="1">RANDBETWEEN(5,10)*4250</f>
        <v>38250</v>
      </c>
      <c r="B803" s="2" t="s">
        <v>1377</v>
      </c>
      <c r="E803" s="20">
        <f ca="1">A803/(1-A802/A801)</f>
        <v>78873.028391167187</v>
      </c>
      <c r="F803" s="2" t="s">
        <v>2773</v>
      </c>
    </row>
    <row r="804" spans="1:10" x14ac:dyDescent="0.35">
      <c r="A804" s="20">
        <f ca="1">RANDBETWEEN(5,10)*1050</f>
        <v>5250</v>
      </c>
      <c r="B804" s="2" t="s">
        <v>200</v>
      </c>
      <c r="E804" s="20">
        <f ca="1">(A804+A803)/(1-A802/A801)</f>
        <v>89698.738170347002</v>
      </c>
      <c r="F804" s="2" t="s">
        <v>2774</v>
      </c>
    </row>
    <row r="806" spans="1:10" ht="16" thickBot="1" x14ac:dyDescent="0.4"/>
    <row r="807" spans="1:10" ht="16.5" thickTop="1" thickBot="1" x14ac:dyDescent="0.4">
      <c r="B807" s="76" t="str">
        <f ca="1">[1]!alpha_ans($C$807)</f>
        <v>E</v>
      </c>
      <c r="C807" s="79" t="str">
        <f ca="1" xml:space="preserve"> "/\" &amp;RANDBETWEEN( 1,5) &amp; "/\" &amp;RANDBETWEEN( 1,120) &amp; "/\" &amp;RANDBETWEEN( 1,6) &amp; "/\" &amp;RANDBETWEEN( 1,2) &amp; "/\" &amp; E802 &amp; "/\" &amp; "Mask" &amp; "/\" &amp; "Mask" &amp; "/\" &amp; E804 &amp; "/\" &amp; "Mask"</f>
        <v>/\5/\115/\1/\1/\46198.738170347/\Mask/\Mask/\89698.738170347/\Mask</v>
      </c>
      <c r="D807" s="80" t="s">
        <v>3720</v>
      </c>
    </row>
    <row r="808" spans="1:10" ht="16" thickTop="1" x14ac:dyDescent="0.35">
      <c r="B808" s="101">
        <f ca="1">[1]!onepair_A($C$807)</f>
        <v>61097.831230283897</v>
      </c>
      <c r="C808" s="142">
        <f ca="1">[1]!onepair_A2($C$807)</f>
        <v>77998.902756823503</v>
      </c>
      <c r="D808" s="77"/>
    </row>
    <row r="809" spans="1:10" x14ac:dyDescent="0.35">
      <c r="B809" s="101">
        <f ca="1">[1]!onepair_B($C$807)</f>
        <v>61097.831230283897</v>
      </c>
      <c r="C809" s="142">
        <f ca="1">[1]!onepair_B2($C$807)</f>
        <v>89698.738170347002</v>
      </c>
      <c r="D809" s="77"/>
    </row>
    <row r="810" spans="1:10" x14ac:dyDescent="0.35">
      <c r="B810" s="101">
        <f ca="1">[1]!onepair_C($C$807)</f>
        <v>46198.738170347002</v>
      </c>
      <c r="C810" s="142">
        <f ca="1">[1]!onepair_C2($C$807)</f>
        <v>77998.902756823503</v>
      </c>
      <c r="D810" s="77"/>
    </row>
    <row r="811" spans="1:10" x14ac:dyDescent="0.35">
      <c r="B811" s="101">
        <f ca="1">[1]!onepair_D($C$807)</f>
        <v>53128.548895899003</v>
      </c>
      <c r="C811" s="142">
        <f ca="1">[1]!onepair_D2($C$807)</f>
        <v>89698.738170347002</v>
      </c>
      <c r="D811" s="77"/>
    </row>
    <row r="812" spans="1:10" ht="16" thickBot="1" x14ac:dyDescent="0.4">
      <c r="B812" s="102">
        <f ca="1">[1]!onepair_E($C$807)</f>
        <v>46198.738170347002</v>
      </c>
      <c r="C812" s="320">
        <f ca="1">[1]!onepair_E2($C$807)</f>
        <v>89698.738170347002</v>
      </c>
      <c r="D812" s="78"/>
    </row>
    <row r="813" spans="1:10" ht="16" thickTop="1" x14ac:dyDescent="0.35"/>
    <row r="815" spans="1:10" x14ac:dyDescent="0.35">
      <c r="A815" s="88" t="s">
        <v>1135</v>
      </c>
    </row>
    <row r="816" spans="1:10" x14ac:dyDescent="0.35">
      <c r="A816" s="20">
        <f ca="1">A817+A818+RANDBETWEEN(5,10)*1875</f>
        <v>93550</v>
      </c>
      <c r="B816" s="2" t="s">
        <v>181</v>
      </c>
      <c r="E816" s="23">
        <f ca="1">RANDBETWEEN(5,7)*5/100</f>
        <v>0.25</v>
      </c>
      <c r="F816" s="2" t="s">
        <v>1038</v>
      </c>
      <c r="I816" s="29">
        <f ca="1">E819/A824</f>
        <v>0.22500000000000001</v>
      </c>
      <c r="J816" s="2" t="s">
        <v>2310</v>
      </c>
    </row>
    <row r="817" spans="1:12" x14ac:dyDescent="0.35">
      <c r="A817" s="20">
        <f ca="1">RANDBETWEEN(5,10)*5075</f>
        <v>40600</v>
      </c>
      <c r="B817" s="2" t="s">
        <v>3104</v>
      </c>
      <c r="E817" s="233">
        <f ca="1">A817/A816</f>
        <v>0.43399251737039019</v>
      </c>
      <c r="F817" s="2" t="s">
        <v>3105</v>
      </c>
      <c r="I817" s="10">
        <f ca="1">A825*E819</f>
        <v>16807.5</v>
      </c>
      <c r="J817" s="2" t="s">
        <v>2311</v>
      </c>
    </row>
    <row r="818" spans="1:12" x14ac:dyDescent="0.35">
      <c r="A818" s="20">
        <f ca="1">RANDBETWEEN(5,10)*4275</f>
        <v>34200</v>
      </c>
      <c r="B818" s="2" t="s">
        <v>1377</v>
      </c>
      <c r="E818" s="20">
        <f ca="1">(A818+A820+(A822+E819)/(1-E816))/(1-E817)</f>
        <v>111924.31539187915</v>
      </c>
      <c r="F818" s="2" t="s">
        <v>1248</v>
      </c>
      <c r="I818" s="10">
        <f ca="1">A826*A824</f>
        <v>149400</v>
      </c>
      <c r="J818" s="2" t="s">
        <v>2312</v>
      </c>
    </row>
    <row r="819" spans="1:12" x14ac:dyDescent="0.35">
      <c r="A819" s="234">
        <f ca="1">A816-A817-A818</f>
        <v>18750</v>
      </c>
      <c r="B819" s="2" t="s">
        <v>1379</v>
      </c>
      <c r="E819" s="20">
        <f ca="1">A827*A824*A826/(A826-A825*(A826-1))</f>
        <v>18675</v>
      </c>
      <c r="F819" s="2" t="s">
        <v>2851</v>
      </c>
      <c r="I819" s="10">
        <f ca="1">A824+E819*(1-A825)</f>
        <v>84867.5</v>
      </c>
      <c r="J819" s="2" t="s">
        <v>2313</v>
      </c>
    </row>
    <row r="820" spans="1:12" x14ac:dyDescent="0.35">
      <c r="A820" s="20">
        <f ca="1">RANDBETWEEN(5,10)*425</f>
        <v>4250</v>
      </c>
      <c r="B820" s="2" t="s">
        <v>1380</v>
      </c>
      <c r="E820" s="20">
        <f ca="1">E818*E817</f>
        <v>48574.315391879143</v>
      </c>
      <c r="F820" s="2" t="s">
        <v>2853</v>
      </c>
      <c r="I820" s="10">
        <f ca="1">A826*I819</f>
        <v>152761.5</v>
      </c>
      <c r="J820" s="2" t="s">
        <v>2314</v>
      </c>
    </row>
    <row r="821" spans="1:12" x14ac:dyDescent="0.35">
      <c r="A821" s="234">
        <f ca="1">(A819-A820)*E816</f>
        <v>3625</v>
      </c>
      <c r="B821" s="2" t="s">
        <v>1381</v>
      </c>
      <c r="I821" s="29">
        <f ca="1">(I820+I817)/I818-1</f>
        <v>0.13500000000000001</v>
      </c>
      <c r="J821" s="2" t="s">
        <v>2318</v>
      </c>
    </row>
    <row r="822" spans="1:12" x14ac:dyDescent="0.35">
      <c r="A822" s="20">
        <v>0</v>
      </c>
      <c r="B822" s="2" t="s">
        <v>1382</v>
      </c>
      <c r="I822" s="10">
        <f ca="1">A824-A823*(1-A825)</f>
        <v>81912.5</v>
      </c>
      <c r="J822" s="2" t="s">
        <v>2307</v>
      </c>
    </row>
    <row r="823" spans="1:12" x14ac:dyDescent="0.35">
      <c r="A823" s="20">
        <f ca="1">A819-A820-A821-A822</f>
        <v>10875</v>
      </c>
      <c r="B823" s="2" t="s">
        <v>799</v>
      </c>
      <c r="C823" s="10"/>
      <c r="I823" s="29">
        <f ca="1">A823/I822</f>
        <v>0.13276361971616055</v>
      </c>
      <c r="J823" s="2" t="s">
        <v>2315</v>
      </c>
    </row>
    <row r="824" spans="1:12" x14ac:dyDescent="0.35">
      <c r="A824" s="20">
        <f ca="1">ROUND(A823/(RANDBETWEEN(80,160)/1000),-2)</f>
        <v>83000</v>
      </c>
      <c r="B824" s="2" t="s">
        <v>2308</v>
      </c>
      <c r="C824" s="10"/>
      <c r="E824" s="7"/>
      <c r="I824" s="10">
        <f ca="1">I822*A826</f>
        <v>147442.5</v>
      </c>
      <c r="J824" s="2" t="s">
        <v>2316</v>
      </c>
    </row>
    <row r="825" spans="1:12" x14ac:dyDescent="0.35">
      <c r="A825" s="23">
        <f ca="1">RANDBETWEEN(5,18)*5/100</f>
        <v>0.9</v>
      </c>
      <c r="B825" s="2" t="s">
        <v>2811</v>
      </c>
      <c r="E825" s="7"/>
      <c r="H825" s="244"/>
      <c r="I825" s="10">
        <f ca="1">A823*A825</f>
        <v>9787.5</v>
      </c>
      <c r="J825" s="2" t="s">
        <v>2317</v>
      </c>
    </row>
    <row r="826" spans="1:12" x14ac:dyDescent="0.35">
      <c r="A826" s="115">
        <f ca="1">RANDBETWEEN(7,25)/10</f>
        <v>1.8</v>
      </c>
      <c r="B826" s="2" t="s">
        <v>3094</v>
      </c>
      <c r="I826" s="29">
        <f ca="1">(I818+I825)/I824-1</f>
        <v>7.9658171829696256E-2</v>
      </c>
      <c r="J826" s="2" t="s">
        <v>2319</v>
      </c>
    </row>
    <row r="827" spans="1:12" x14ac:dyDescent="0.35">
      <c r="A827" s="7">
        <f ca="1">RANDBETWEEN(90,150)/1000</f>
        <v>0.13500000000000001</v>
      </c>
      <c r="B827" s="2" t="s">
        <v>2309</v>
      </c>
    </row>
    <row r="829" spans="1:12" ht="16" thickBot="1" x14ac:dyDescent="0.4">
      <c r="B829" s="88" t="s">
        <v>1136</v>
      </c>
      <c r="F829" s="88" t="s">
        <v>1138</v>
      </c>
      <c r="J829" s="88" t="s">
        <v>3539</v>
      </c>
    </row>
    <row r="830" spans="1:12" ht="16.5" thickTop="1" thickBot="1" x14ac:dyDescent="0.4">
      <c r="B830" s="76" t="str">
        <f ca="1">[1]!std_ans($C$830)</f>
        <v>A</v>
      </c>
      <c r="C830" s="79" t="str">
        <f ca="1" xml:space="preserve"> "/\" &amp;RANDBETWEEN( 1,120) &amp; "/\" &amp;RANDBETWEEN( 1,120) &amp; "/\" &amp;0.1 &amp; "/\" &amp; E818</f>
        <v>/\22/\11/\0.1/\111924.315391879</v>
      </c>
      <c r="D830" s="80" t="s">
        <v>1134</v>
      </c>
      <c r="F830" s="76" t="str">
        <f ca="1">[1]!alpha_ans($G$830)</f>
        <v>C</v>
      </c>
      <c r="G830" s="79" t="str">
        <f ca="1" xml:space="preserve"> "/\" &amp;RANDBETWEEN( 1,5) &amp; "/\" &amp;RANDBETWEEN( 1,120) &amp; "/\" &amp;RANDBETWEEN( 1,6) &amp; "/\" &amp;RANDBETWEEN( 1,2) &amp; "/\" &amp; E819 &amp; "/\" &amp; "Mask" &amp; "/\" &amp; "Mask" &amp; "/\" &amp; E818 &amp; "/\" &amp; "Mask"</f>
        <v>/\3/\18/\4/\2/\18675/\Mask/\Mask/\111924.315391879/\Mask</v>
      </c>
      <c r="H830" s="80" t="s">
        <v>1137</v>
      </c>
      <c r="J830" s="76" t="str">
        <f ca="1">[1]!alpha_ans($K$830)</f>
        <v>D</v>
      </c>
      <c r="K830" s="79" t="str">
        <f ca="1" xml:space="preserve"> "/\" &amp;RANDBETWEEN( 1,5) &amp; "/\" &amp;RANDBETWEEN( 1,120) &amp; "/\" &amp;RANDBETWEEN( 1,6) &amp; "/\" &amp;RANDBETWEEN( 1,2) &amp; "/\" &amp; I817 &amp; "/\" &amp; "Mask" &amp; "/\" &amp; "Mask" &amp; "/\" &amp; E818 &amp; "/\" &amp; "Mask"</f>
        <v>/\4/\19/\1/\2/\16807.5/\Mask/\Mask/\111924.315391879/\Mask</v>
      </c>
      <c r="L830" s="80" t="s">
        <v>3538</v>
      </c>
    </row>
    <row r="831" spans="1:12" ht="16" thickTop="1" x14ac:dyDescent="0.35">
      <c r="B831" s="101">
        <f ca="1">[1]!stdnum_A($C$830)</f>
        <v>111924.315391879</v>
      </c>
      <c r="C831" s="82"/>
      <c r="D831" s="77"/>
      <c r="F831" s="101">
        <f ca="1">[1]!onepair_A($G$830)</f>
        <v>18675</v>
      </c>
      <c r="G831" s="142">
        <f ca="1">[1]!onepair_A2($G$830)</f>
        <v>128712.962700661</v>
      </c>
      <c r="H831" s="77"/>
      <c r="J831" s="101">
        <f ca="1">[1]!onepair_A($K$830)</f>
        <v>16807.5</v>
      </c>
      <c r="K831" s="142">
        <f ca="1">[1]!onepair_A2($K$830)</f>
        <v>128712.962700661</v>
      </c>
      <c r="L831" s="77"/>
    </row>
    <row r="832" spans="1:12" x14ac:dyDescent="0.35">
      <c r="B832" s="101">
        <f ca="1">[1]!stdnum_B($C$830)</f>
        <v>148971.26378659101</v>
      </c>
      <c r="C832" s="82"/>
      <c r="D832" s="77"/>
      <c r="F832" s="101">
        <f ca="1">[1]!onepair_B($G$830)</f>
        <v>16239.130434782601</v>
      </c>
      <c r="G832" s="142">
        <f ca="1">[1]!onepair_B2($G$830)</f>
        <v>111924.315391879</v>
      </c>
      <c r="H832" s="77"/>
      <c r="J832" s="101">
        <f ca="1">[1]!onepair_B($K$830)</f>
        <v>22227.918750000001</v>
      </c>
      <c r="K832" s="142">
        <f ca="1">[1]!onepair_B2($K$830)</f>
        <v>128712.962700661</v>
      </c>
      <c r="L832" s="77"/>
    </row>
    <row r="833" spans="2:12" x14ac:dyDescent="0.35">
      <c r="B833" s="101">
        <f ca="1">[1]!stdnum_C($C$830)</f>
        <v>163868.39016525011</v>
      </c>
      <c r="C833" s="82"/>
      <c r="D833" s="77"/>
      <c r="F833" s="101">
        <f ca="1">[1]!onepair_C($G$830)</f>
        <v>18675</v>
      </c>
      <c r="G833" s="142">
        <f ca="1">[1]!onepair_C2($G$830)</f>
        <v>111924.315391879</v>
      </c>
      <c r="H833" s="77"/>
      <c r="J833" s="101">
        <f ca="1">[1]!onepair_C($K$830)</f>
        <v>19328.625</v>
      </c>
      <c r="K833" s="142">
        <f ca="1">[1]!onepair_C2($K$830)</f>
        <v>111924.315391879</v>
      </c>
      <c r="L833" s="77"/>
    </row>
    <row r="834" spans="2:12" x14ac:dyDescent="0.35">
      <c r="B834" s="101">
        <f ca="1">[1]!stdnum_D($C$830)</f>
        <v>123116.74693106691</v>
      </c>
      <c r="C834" s="82"/>
      <c r="D834" s="77"/>
      <c r="F834" s="101">
        <f ca="1">[1]!onepair_D($G$830)</f>
        <v>21476.25</v>
      </c>
      <c r="G834" s="142">
        <f ca="1">[1]!onepair_D2($G$830)</f>
        <v>128712.962700661</v>
      </c>
      <c r="H834" s="77"/>
      <c r="J834" s="101">
        <f ca="1">[1]!onepair_D($K$830)</f>
        <v>16807.5</v>
      </c>
      <c r="K834" s="142">
        <f ca="1">[1]!onepair_D2($K$830)</f>
        <v>111924.315391879</v>
      </c>
      <c r="L834" s="77"/>
    </row>
    <row r="835" spans="2:12" ht="16" thickBot="1" x14ac:dyDescent="0.4">
      <c r="B835" s="102">
        <f ca="1">[1]!stdnum_E($C$830)</f>
        <v>135428.42162417361</v>
      </c>
      <c r="C835" s="84"/>
      <c r="D835" s="78"/>
      <c r="F835" s="102">
        <f ca="1">[1]!onepair_E($G$830)</f>
        <v>21476.25</v>
      </c>
      <c r="G835" s="320">
        <f ca="1">[1]!onepair_E2($G$830)</f>
        <v>111924.315391879</v>
      </c>
      <c r="H835" s="78"/>
      <c r="J835" s="102">
        <f ca="1">[1]!onepair_E($K$830)</f>
        <v>22227.918750000001</v>
      </c>
      <c r="K835" s="320">
        <f ca="1">[1]!onepair_E2($K$830)</f>
        <v>111924.315391879</v>
      </c>
      <c r="L835" s="78"/>
    </row>
    <row r="836" spans="2:12" ht="16" thickTop="1" x14ac:dyDescent="0.35"/>
  </sheetData>
  <mergeCells count="1">
    <mergeCell ref="J239:K239"/>
  </mergeCells>
  <phoneticPr fontId="0" type="noConversion"/>
  <pageMargins left="0.75" right="0.75" top="1" bottom="1" header="0.5" footer="0.5"/>
  <pageSetup orientation="landscape" horizontalDpi="96" verticalDpi="96"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dimension ref="A10:V484"/>
  <sheetViews>
    <sheetView workbookViewId="0"/>
  </sheetViews>
  <sheetFormatPr defaultColWidth="10.58203125" defaultRowHeight="15.5" x14ac:dyDescent="0.35"/>
  <cols>
    <col min="1" max="16384" width="10.58203125" style="2"/>
  </cols>
  <sheetData>
    <row r="10" spans="1:7" x14ac:dyDescent="0.35">
      <c r="A10" s="88" t="s">
        <v>3337</v>
      </c>
    </row>
    <row r="11" spans="1:7" x14ac:dyDescent="0.35">
      <c r="A11" s="13">
        <f ca="1">RANDBETWEEN(6,12)*0.5</f>
        <v>4.5</v>
      </c>
      <c r="B11" s="2" t="s">
        <v>2896</v>
      </c>
      <c r="F11" s="27">
        <f ca="1">A12-A13-A11</f>
        <v>3.3000000000000007</v>
      </c>
      <c r="G11" s="2" t="s">
        <v>2897</v>
      </c>
    </row>
    <row r="12" spans="1:7" x14ac:dyDescent="0.35">
      <c r="A12" s="13">
        <f ca="1">RANDBETWEEN(100,300)/10</f>
        <v>12.8</v>
      </c>
      <c r="B12" s="2" t="s">
        <v>1414</v>
      </c>
    </row>
    <row r="13" spans="1:7" x14ac:dyDescent="0.35">
      <c r="A13" s="13">
        <f ca="1">MROUND(C13-2.5,2.5)</f>
        <v>5</v>
      </c>
      <c r="B13" s="2" t="s">
        <v>3815</v>
      </c>
      <c r="C13" s="27">
        <f ca="1">A12-A11</f>
        <v>8.3000000000000007</v>
      </c>
    </row>
    <row r="14" spans="1:7" ht="16" thickBot="1" x14ac:dyDescent="0.4"/>
    <row r="15" spans="1:7" ht="16.5" thickTop="1" thickBot="1" x14ac:dyDescent="0.4">
      <c r="B15" s="76" t="str">
        <f ca="1">[1]!std_ans($C$15)</f>
        <v>C</v>
      </c>
      <c r="C15" s="79" t="str">
        <f ca="1" xml:space="preserve"> "/\" &amp;RANDBETWEEN( 1,120) &amp; "/\" &amp;RANDBETWEEN( 1,120) &amp; "/\" &amp;0.15 &amp; "/\" &amp; F11</f>
        <v>/\61/\95/\0.15/\3.3</v>
      </c>
      <c r="D15" s="80" t="s">
        <v>2898</v>
      </c>
    </row>
    <row r="16" spans="1:7" ht="16" thickTop="1" x14ac:dyDescent="0.35">
      <c r="B16" s="96">
        <f ca="1">ROUND([1]!stdnum_A($C$15),1)</f>
        <v>2.9</v>
      </c>
      <c r="C16" s="82"/>
      <c r="D16" s="77"/>
    </row>
    <row r="17" spans="1:6" x14ac:dyDescent="0.35">
      <c r="B17" s="96">
        <f ca="1">ROUND([1]!stdnum_B($C$15),1)</f>
        <v>2.2000000000000002</v>
      </c>
      <c r="C17" s="82"/>
      <c r="D17" s="77"/>
    </row>
    <row r="18" spans="1:6" x14ac:dyDescent="0.35">
      <c r="B18" s="96">
        <f ca="1">ROUND([1]!stdnum_C($C$15),1)</f>
        <v>3.3</v>
      </c>
      <c r="C18" s="82"/>
      <c r="D18" s="77"/>
    </row>
    <row r="19" spans="1:6" x14ac:dyDescent="0.35">
      <c r="B19" s="96">
        <f ca="1">ROUND([1]!stdnum_D($C$15),1)</f>
        <v>3.8</v>
      </c>
      <c r="C19" s="82"/>
      <c r="D19" s="77"/>
    </row>
    <row r="20" spans="1:6" ht="16" thickBot="1" x14ac:dyDescent="0.4">
      <c r="B20" s="97">
        <f ca="1">ROUND([1]!stdnum_E($C$15),1)</f>
        <v>2.5</v>
      </c>
      <c r="C20" s="84"/>
      <c r="D20" s="78"/>
    </row>
    <row r="21" spans="1:6" ht="16" thickTop="1" x14ac:dyDescent="0.35"/>
    <row r="23" spans="1:6" x14ac:dyDescent="0.35">
      <c r="A23" s="88" t="s">
        <v>2682</v>
      </c>
    </row>
    <row r="24" spans="1:6" x14ac:dyDescent="0.35">
      <c r="A24" s="13">
        <f ca="1">RANDBETWEEN(8,20)*2.5</f>
        <v>32.5</v>
      </c>
      <c r="B24" s="2" t="s">
        <v>3815</v>
      </c>
      <c r="E24" s="13">
        <f ca="1">A25*(1+A26)</f>
        <v>1.6500000000000001</v>
      </c>
      <c r="F24" s="2" t="s">
        <v>2899</v>
      </c>
    </row>
    <row r="25" spans="1:6" x14ac:dyDescent="0.35">
      <c r="A25" s="13">
        <f ca="1">RANDBETWEEN(6,20)*0.25</f>
        <v>1.5</v>
      </c>
      <c r="B25" s="2" t="s">
        <v>2896</v>
      </c>
      <c r="E25" s="27">
        <f ca="1">A24+E24</f>
        <v>34.15</v>
      </c>
      <c r="F25" s="2" t="s">
        <v>2900</v>
      </c>
    </row>
    <row r="26" spans="1:6" x14ac:dyDescent="0.35">
      <c r="A26" s="12">
        <f ca="1">RANDBETWEEN(1,10)*0.1</f>
        <v>0.1</v>
      </c>
      <c r="B26" s="2" t="s">
        <v>378</v>
      </c>
    </row>
    <row r="27" spans="1:6" ht="16" thickBot="1" x14ac:dyDescent="0.4"/>
    <row r="28" spans="1:6" ht="16.5" thickTop="1" thickBot="1" x14ac:dyDescent="0.4">
      <c r="B28" s="76" t="str">
        <f ca="1">[1]!std_ans($C$28)</f>
        <v>C</v>
      </c>
      <c r="C28" s="79" t="str">
        <f ca="1" xml:space="preserve"> "/\" &amp;RANDBETWEEN( 1,120) &amp; "/\" &amp;RANDBETWEEN( 1,120) &amp; "/\" &amp;0.1 &amp; "/\" &amp; E25</f>
        <v>/\68/\43/\0.1/\34.15</v>
      </c>
      <c r="D28" s="80" t="s">
        <v>2901</v>
      </c>
    </row>
    <row r="29" spans="1:6" ht="16" thickTop="1" x14ac:dyDescent="0.35">
      <c r="B29" s="96">
        <f ca="1">[1]!stdnum_A($C$28)</f>
        <v>31.045454545454543</v>
      </c>
      <c r="C29" s="82"/>
      <c r="D29" s="77"/>
    </row>
    <row r="30" spans="1:6" x14ac:dyDescent="0.35">
      <c r="B30" s="96">
        <f ca="1">[1]!stdnum_B($C$28)</f>
        <v>41.321500000000007</v>
      </c>
      <c r="C30" s="82"/>
      <c r="D30" s="77"/>
    </row>
    <row r="31" spans="1:6" x14ac:dyDescent="0.35">
      <c r="B31" s="96">
        <f ca="1">[1]!stdnum_C($C$28)</f>
        <v>34.15</v>
      </c>
      <c r="C31" s="82"/>
      <c r="D31" s="77"/>
    </row>
    <row r="32" spans="1:6" x14ac:dyDescent="0.35">
      <c r="B32" s="96">
        <f ca="1">[1]!stdnum_D($C$28)</f>
        <v>37.565000000000005</v>
      </c>
      <c r="C32" s="82"/>
      <c r="D32" s="77"/>
    </row>
    <row r="33" spans="1:5" ht="16" thickBot="1" x14ac:dyDescent="0.4">
      <c r="B33" s="97">
        <f ca="1">[1]!stdnum_E($C$28)</f>
        <v>45.45365000000001</v>
      </c>
      <c r="C33" s="84"/>
      <c r="D33" s="78"/>
    </row>
    <row r="34" spans="1:5" ht="16" thickTop="1" x14ac:dyDescent="0.35"/>
    <row r="36" spans="1:5" x14ac:dyDescent="0.35">
      <c r="A36" s="88" t="s">
        <v>2802</v>
      </c>
    </row>
    <row r="37" spans="1:5" x14ac:dyDescent="0.35">
      <c r="A37" s="13">
        <f ca="1">RANDBETWEEN(8,20)*2.5</f>
        <v>27.5</v>
      </c>
      <c r="B37" s="2" t="s">
        <v>3815</v>
      </c>
      <c r="D37" s="2" t="s">
        <v>2972</v>
      </c>
      <c r="E37" s="2" t="str">
        <f ca="1">IF(A38&gt;A37,"in-the-money","out-of-the-money")</f>
        <v>in-the-money</v>
      </c>
    </row>
    <row r="38" spans="1:5" x14ac:dyDescent="0.35">
      <c r="A38" s="27">
        <f ca="1">MROUND(A37*(1+RANDBETWEEN(16,25)/100)^(IF(RANDBETWEEN(0,1)=0,1,-1)),0.05)</f>
        <v>31.900000000000002</v>
      </c>
      <c r="B38" s="2" t="s">
        <v>1414</v>
      </c>
      <c r="D38" s="2" t="s">
        <v>1876</v>
      </c>
      <c r="E38" s="2" t="str">
        <f ca="1">IF(A38&lt;A37,"in-the-money","out-of-the-money")</f>
        <v>out-of-the-money</v>
      </c>
    </row>
    <row r="39" spans="1:5" ht="16" thickBot="1" x14ac:dyDescent="0.4"/>
    <row r="40" spans="1:5" ht="16.5" thickTop="1" thickBot="1" x14ac:dyDescent="0.4">
      <c r="B40" s="76" t="str">
        <f ca="1">[1]!stdtf_ans($C$40)</f>
        <v>B</v>
      </c>
      <c r="C40" s="79" t="str">
        <f ca="1" xml:space="preserve"> "/\" &amp;RANDBETWEEN( 1,2) &amp; "/\" &amp; E37 &amp; "/\"  &amp; E38</f>
        <v>/\2/\in-the-money/\out-of-the-money</v>
      </c>
      <c r="D40" s="80" t="s">
        <v>3788</v>
      </c>
    </row>
    <row r="41" spans="1:5" ht="16.5" thickTop="1" thickBot="1" x14ac:dyDescent="0.4">
      <c r="B41" s="83" t="str">
        <f ca="1">[1]!stdtf_q($C$40)</f>
        <v>out-of-the-money</v>
      </c>
      <c r="C41" s="84"/>
      <c r="D41" s="78"/>
    </row>
    <row r="42" spans="1:5" ht="16" thickTop="1" x14ac:dyDescent="0.35"/>
    <row r="44" spans="1:5" x14ac:dyDescent="0.35">
      <c r="A44" s="88" t="s">
        <v>2803</v>
      </c>
    </row>
    <row r="45" spans="1:5" x14ac:dyDescent="0.35">
      <c r="A45" s="13">
        <f ca="1">RANDBETWEEN(8,20)*2.5</f>
        <v>27.5</v>
      </c>
      <c r="B45" s="2" t="s">
        <v>3815</v>
      </c>
      <c r="D45" s="2" t="s">
        <v>2972</v>
      </c>
      <c r="E45" s="2" t="str">
        <f ca="1">IF(A46&lt;A45,"in-the-money","out-of-the-money")</f>
        <v>out-of-the-money</v>
      </c>
    </row>
    <row r="46" spans="1:5" x14ac:dyDescent="0.35">
      <c r="A46" s="27">
        <f ca="1">MROUND(A45*(1+RANDBETWEEN(16,25)/100)^(IF(RANDBETWEEN(0,1)=0,1,-1)),0.05)</f>
        <v>32.450000000000003</v>
      </c>
      <c r="B46" s="2" t="s">
        <v>1414</v>
      </c>
      <c r="D46" s="2" t="s">
        <v>1876</v>
      </c>
      <c r="E46" s="2" t="str">
        <f ca="1">IF(A46&gt;A45,"in-the-money","out-of-the-money")</f>
        <v>in-the-money</v>
      </c>
    </row>
    <row r="47" spans="1:5" ht="16" thickBot="1" x14ac:dyDescent="0.4"/>
    <row r="48" spans="1:5" ht="16.5" thickTop="1" thickBot="1" x14ac:dyDescent="0.4">
      <c r="B48" s="76" t="str">
        <f ca="1">[1]!stdtf_ans($C$48)</f>
        <v>A</v>
      </c>
      <c r="C48" s="79" t="str">
        <f ca="1" xml:space="preserve"> "/\" &amp;RANDBETWEEN( 1,2) &amp; "/\" &amp; E45 &amp; "/\"  &amp; E46</f>
        <v>/\1/\out-of-the-money/\in-the-money</v>
      </c>
      <c r="D48" s="80" t="s">
        <v>3789</v>
      </c>
    </row>
    <row r="49" spans="1:5" ht="16.5" thickTop="1" thickBot="1" x14ac:dyDescent="0.4">
      <c r="B49" s="83" t="str">
        <f ca="1">[1]!stdtf_q($C$48)</f>
        <v>out-of-the-money</v>
      </c>
      <c r="C49" s="84"/>
      <c r="D49" s="78"/>
    </row>
    <row r="50" spans="1:5" ht="16" thickTop="1" x14ac:dyDescent="0.35"/>
    <row r="52" spans="1:5" x14ac:dyDescent="0.35">
      <c r="A52" s="88" t="s">
        <v>2804</v>
      </c>
    </row>
    <row r="53" spans="1:5" x14ac:dyDescent="0.35">
      <c r="A53" s="13">
        <f ca="1">RANDBETWEEN(8,20)*2.5</f>
        <v>27.5</v>
      </c>
      <c r="B53" s="2" t="s">
        <v>3815</v>
      </c>
      <c r="D53" s="2" t="s">
        <v>2972</v>
      </c>
      <c r="E53" s="2" t="str">
        <f ca="1">IF(E55="call",IF(A54&gt;A53,"in-the-money","out-of-the-money"),IF(A54&lt;A53,"in-the-money","out-of-the-money"))</f>
        <v>in-the-money</v>
      </c>
    </row>
    <row r="54" spans="1:5" x14ac:dyDescent="0.35">
      <c r="A54" s="27">
        <f ca="1">MROUND(A53*(1+RANDBETWEEN(16,25)/100)^(IF(RANDBETWEEN(0,1)=0,1,-1)),0.05)</f>
        <v>32.15</v>
      </c>
      <c r="B54" s="2" t="s">
        <v>1414</v>
      </c>
      <c r="D54" s="2" t="s">
        <v>1876</v>
      </c>
      <c r="E54" s="2" t="str">
        <f ca="1">IF(E55="call",IF(A54&lt;A53,"in-the-money","out-of-the-money"),IF(A54&gt;A53,"in-the-money","out-of-the-money"))</f>
        <v>out-of-the-money</v>
      </c>
    </row>
    <row r="55" spans="1:5" x14ac:dyDescent="0.35">
      <c r="E55" s="2" t="str">
        <f ca="1">IF(RANDBETWEEN(0,1)=1,"call","put")</f>
        <v>call</v>
      </c>
    </row>
    <row r="56" spans="1:5" ht="16" thickBot="1" x14ac:dyDescent="0.4"/>
    <row r="57" spans="1:5" ht="16.5" thickTop="1" thickBot="1" x14ac:dyDescent="0.4">
      <c r="B57" s="76" t="str">
        <f ca="1">[1]!stdtf_ans($C$57)</f>
        <v>B</v>
      </c>
      <c r="C57" s="79" t="str">
        <f ca="1" xml:space="preserve"> "/\" &amp;RANDBETWEEN( 1,2) &amp; "/\" &amp; E53 &amp; "/\"  &amp; E54</f>
        <v>/\2/\in-the-money/\out-of-the-money</v>
      </c>
      <c r="D57" s="80" t="s">
        <v>1338</v>
      </c>
    </row>
    <row r="58" spans="1:5" ht="16.5" thickTop="1" thickBot="1" x14ac:dyDescent="0.4">
      <c r="B58" s="83" t="str">
        <f ca="1">[1]!stdtf_q($C$57)</f>
        <v>out-of-the-money</v>
      </c>
      <c r="C58" s="84"/>
      <c r="D58" s="78"/>
    </row>
    <row r="59" spans="1:5" ht="16" thickTop="1" x14ac:dyDescent="0.35"/>
    <row r="61" spans="1:5" x14ac:dyDescent="0.35">
      <c r="A61" s="88" t="s">
        <v>2805</v>
      </c>
    </row>
    <row r="62" spans="1:5" ht="16" thickBot="1" x14ac:dyDescent="0.4"/>
    <row r="63" spans="1:5" ht="16.5" thickTop="1" thickBot="1" x14ac:dyDescent="0.4">
      <c r="B63" s="76" t="str">
        <f ca="1">[1]!stdtf_ans($C$63)</f>
        <v>A</v>
      </c>
      <c r="C63" s="79" t="str">
        <f ca="1" xml:space="preserve"> "/\" &amp;RANDBETWEEN( 1,2) &amp; "/\" &amp; " call " &amp; "/\"  &amp; " put "</f>
        <v xml:space="preserve">/\1/\ call /\ put </v>
      </c>
      <c r="D63" s="80" t="s">
        <v>2530</v>
      </c>
    </row>
    <row r="64" spans="1:5" ht="16.5" thickTop="1" thickBot="1" x14ac:dyDescent="0.4">
      <c r="B64" s="83" t="str">
        <f ca="1">[1]!stdtf_q($C$63)</f>
        <v xml:space="preserve"> call </v>
      </c>
      <c r="C64" s="84"/>
      <c r="D64" s="78"/>
    </row>
    <row r="65" spans="1:4" ht="16" thickTop="1" x14ac:dyDescent="0.35"/>
    <row r="67" spans="1:4" x14ac:dyDescent="0.35">
      <c r="A67" s="88" t="s">
        <v>2806</v>
      </c>
    </row>
    <row r="68" spans="1:4" x14ac:dyDescent="0.35">
      <c r="B68" s="6" t="s">
        <v>3223</v>
      </c>
      <c r="C68" s="2" t="str">
        <f ca="1">CHOOSE(RANDBETWEEN(1,3),"short call option position","long put option position","short put option position")</f>
        <v>short call option position</v>
      </c>
    </row>
    <row r="69" spans="1:4" x14ac:dyDescent="0.35">
      <c r="B69" s="6" t="s">
        <v>3224</v>
      </c>
      <c r="C69" s="2" t="str">
        <f ca="1">CHOOSE(RANDBETWEEN(1,3),"long call option position","long put option position","short put option position")</f>
        <v>short put option position</v>
      </c>
    </row>
    <row r="70" spans="1:4" x14ac:dyDescent="0.35">
      <c r="B70" s="6" t="s">
        <v>3225</v>
      </c>
      <c r="C70" s="2" t="str">
        <f ca="1">CHOOSE(RANDBETWEEN(1,3),"long call option position","short call option position","short put option position")</f>
        <v>long call option position</v>
      </c>
    </row>
    <row r="71" spans="1:4" ht="16" thickBot="1" x14ac:dyDescent="0.4"/>
    <row r="72" spans="1:4" ht="16.5" thickTop="1" thickBot="1" x14ac:dyDescent="0.4">
      <c r="B72" s="76" t="str">
        <f ca="1">[1]!alpha_ans($C$72)</f>
        <v>A</v>
      </c>
      <c r="C72" s="79" t="str">
        <f ca="1" xml:space="preserve"> "/\" &amp;RANDBETWEEN( 1,5) &amp; "/\" &amp;RANDBETWEEN( 1,3) &amp; "/\" &amp;RANDBETWEEN( 1,2) &amp; "/\" &amp;"long call option position" &amp; "/\" &amp; C68 &amp; "/\" &amp; "short call option position" &amp; "/\" &amp; C69 &amp; "/\" &amp; "long put option position" &amp; "/\" &amp; C70</f>
        <v>/\1/\2/\2/\long call option position/\short call option position/\short call option position/\short put option position/\long put option position/\long call option position</v>
      </c>
      <c r="D72" s="80" t="s">
        <v>3226</v>
      </c>
    </row>
    <row r="73" spans="1:4" ht="16" thickTop="1" x14ac:dyDescent="0.35">
      <c r="B73" s="81" t="str">
        <f ca="1">[1]!complexV_A($C$72)</f>
        <v>long call option position</v>
      </c>
      <c r="C73" s="82"/>
      <c r="D73" s="77"/>
    </row>
    <row r="74" spans="1:4" x14ac:dyDescent="0.35">
      <c r="B74" s="81" t="str">
        <f ca="1">[1]!complexV_B($C$72)</f>
        <v>short put option position</v>
      </c>
      <c r="C74" s="82"/>
      <c r="D74" s="77"/>
    </row>
    <row r="75" spans="1:4" x14ac:dyDescent="0.35">
      <c r="B75" s="81" t="str">
        <f ca="1">[1]!complexV_C($C$72)</f>
        <v>long call option position</v>
      </c>
      <c r="C75" s="82"/>
      <c r="D75" s="77"/>
    </row>
    <row r="76" spans="1:4" x14ac:dyDescent="0.35">
      <c r="B76" s="81" t="str">
        <f ca="1">[1]!complexV_D($C$72)</f>
        <v>Two choices, A and C, are correct</v>
      </c>
      <c r="C76" s="82"/>
      <c r="D76" s="77"/>
    </row>
    <row r="77" spans="1:4" ht="16" thickBot="1" x14ac:dyDescent="0.4">
      <c r="B77" s="83" t="str">
        <f ca="1">[1]!complexV_E($C$72)</f>
        <v>None of the A-B-C choices are correct</v>
      </c>
      <c r="C77" s="84"/>
      <c r="D77" s="78"/>
    </row>
    <row r="78" spans="1:4" ht="16" thickTop="1" x14ac:dyDescent="0.35"/>
    <row r="80" spans="1:4" x14ac:dyDescent="0.35">
      <c r="A80" s="88" t="s">
        <v>2807</v>
      </c>
    </row>
    <row r="81" spans="1:4" x14ac:dyDescent="0.35">
      <c r="A81" s="13">
        <f ca="1">RANDBETWEEN(8,20)*2.5</f>
        <v>42.5</v>
      </c>
      <c r="B81" s="2" t="s">
        <v>3815</v>
      </c>
    </row>
    <row r="82" spans="1:4" x14ac:dyDescent="0.35">
      <c r="A82" s="27">
        <f ca="1">MROUND(A81*(1+RANDBETWEEN(16,25)/100)^(IF(RANDBETWEEN(0,1)=0,1,-1)),0.05)</f>
        <v>35.700000000000003</v>
      </c>
      <c r="B82" s="2" t="s">
        <v>1414</v>
      </c>
    </row>
    <row r="83" spans="1:4" x14ac:dyDescent="0.35">
      <c r="A83" s="27">
        <f ca="1">ABS(A82-A81)</f>
        <v>6.7999999999999972</v>
      </c>
      <c r="B83" s="2" t="s">
        <v>2428</v>
      </c>
    </row>
    <row r="85" spans="1:4" x14ac:dyDescent="0.35">
      <c r="A85" s="2" t="s">
        <v>2146</v>
      </c>
      <c r="B85" s="2" t="str">
        <f ca="1">IF(A82&gt;A81,"call option with price of $","put option with price of $") &amp; FIXED(A83*0.9,2)</f>
        <v>put option with price of $6.12</v>
      </c>
    </row>
    <row r="86" spans="1:4" x14ac:dyDescent="0.35">
      <c r="A86" s="2" t="s">
        <v>2147</v>
      </c>
      <c r="B86" s="2" t="str">
        <f ca="1">IF(A82&gt;A81,"put option with price of $","call option with price of $") &amp; FIXED(A83*0.9,2)</f>
        <v>call option with price of $6.12</v>
      </c>
    </row>
    <row r="87" spans="1:4" x14ac:dyDescent="0.35">
      <c r="A87" s="2" t="s">
        <v>2148</v>
      </c>
      <c r="B87" s="2" t="str">
        <f ca="1">IF(A82&gt;A81,"call option with price of $","put option with price of $") &amp; FIXED(A83*0.8,2)</f>
        <v>put option with price of $5.44</v>
      </c>
    </row>
    <row r="88" spans="1:4" x14ac:dyDescent="0.35">
      <c r="A88" s="2" t="s">
        <v>2149</v>
      </c>
      <c r="B88" s="2" t="str">
        <f ca="1">IF(A82&gt;A81,"put option with price of $","call option with price of $") &amp; FIXED(A83*0.8,2)</f>
        <v>call option with price of $5.44</v>
      </c>
    </row>
    <row r="89" spans="1:4" x14ac:dyDescent="0.35">
      <c r="A89" s="2" t="s">
        <v>2150</v>
      </c>
      <c r="B89" s="2" t="str">
        <f ca="1">IF(A82&gt;A81,"call option with price of $","put option with price of $") &amp; FIXED(A83*0.7,2)</f>
        <v>put option with price of $4.76</v>
      </c>
    </row>
    <row r="90" spans="1:4" x14ac:dyDescent="0.35">
      <c r="A90" s="2" t="s">
        <v>2151</v>
      </c>
      <c r="B90" s="2" t="str">
        <f ca="1">IF(A82&gt;A81,"put option with price of $","call option with price of $") &amp; FIXED(A83*0.7,2)</f>
        <v>call option with price of $4.76</v>
      </c>
    </row>
    <row r="91" spans="1:4" ht="16" thickBot="1" x14ac:dyDescent="0.4"/>
    <row r="92" spans="1:4" ht="16.5" thickTop="1" thickBot="1" x14ac:dyDescent="0.4">
      <c r="B92" s="76" t="str">
        <f ca="1">[1]!alpha_ans($C$92)</f>
        <v>D</v>
      </c>
      <c r="C92" s="79" t="str">
        <f ca="1" xml:space="preserve"> "/\" &amp;RANDBETWEEN( 1,5) &amp; "/\" &amp;RANDBETWEEN( 1,3) &amp; "/\" &amp;RANDBETWEEN( 1,2) &amp; "/\" &amp;B85 &amp; "/\" &amp; B86 &amp; "/\" &amp; B87 &amp; "/\" &amp; B88 &amp; "/\" &amp; B89 &amp; "/\" &amp; B90</f>
        <v>/\4/\3/\1/\put option with price of $6.12/\call option with price of $6.12/\put option with price of $5.44/\call option with price of $5.44/\put option with price of $4.76/\call option with price of $4.76</v>
      </c>
      <c r="D92" s="80" t="s">
        <v>2342</v>
      </c>
    </row>
    <row r="93" spans="1:4" ht="16" thickTop="1" x14ac:dyDescent="0.35">
      <c r="B93" s="81" t="str">
        <f ca="1">[1]!complexV_A($C$92)</f>
        <v>call option with price of $6.12</v>
      </c>
      <c r="C93" s="82"/>
      <c r="D93" s="77"/>
    </row>
    <row r="94" spans="1:4" x14ac:dyDescent="0.35">
      <c r="B94" s="81" t="str">
        <f ca="1">[1]!complexV_B($C$92)</f>
        <v>put option with price of $5.44</v>
      </c>
      <c r="C94" s="82"/>
      <c r="D94" s="77"/>
    </row>
    <row r="95" spans="1:4" x14ac:dyDescent="0.35">
      <c r="B95" s="81" t="str">
        <f ca="1">[1]!complexV_C($C$92)</f>
        <v>put option with price of $4.76</v>
      </c>
      <c r="C95" s="82"/>
      <c r="D95" s="77"/>
    </row>
    <row r="96" spans="1:4" x14ac:dyDescent="0.35">
      <c r="B96" s="81" t="str">
        <f ca="1">[1]!complexV_D($C$92)</f>
        <v>Two choices, B and C, are correct</v>
      </c>
      <c r="C96" s="82"/>
      <c r="D96" s="77"/>
    </row>
    <row r="97" spans="1:8" ht="16" thickBot="1" x14ac:dyDescent="0.4">
      <c r="B97" s="83" t="str">
        <f ca="1">[1]!complexV_E($C$92)</f>
        <v>The three A-B-C choices are all correct</v>
      </c>
      <c r="C97" s="84"/>
      <c r="D97" s="78"/>
    </row>
    <row r="98" spans="1:8" ht="16" thickTop="1" x14ac:dyDescent="0.35"/>
    <row r="100" spans="1:8" x14ac:dyDescent="0.35">
      <c r="A100" s="88" t="s">
        <v>547</v>
      </c>
    </row>
    <row r="101" spans="1:8" x14ac:dyDescent="0.35">
      <c r="A101" s="13">
        <f ca="1">RANDBETWEEN(8,20)*2.5</f>
        <v>30</v>
      </c>
      <c r="B101" s="2" t="s">
        <v>3815</v>
      </c>
      <c r="F101" s="10">
        <f ca="1">(A103-A104)/(1+A105/12)^A107</f>
        <v>11787.119306109413</v>
      </c>
      <c r="G101" s="2" t="s">
        <v>408</v>
      </c>
    </row>
    <row r="102" spans="1:8" x14ac:dyDescent="0.35">
      <c r="A102" s="27">
        <f ca="1">MROUND(A101*MIN(vMask20, 1/vMask20),0.05)</f>
        <v>24</v>
      </c>
      <c r="B102" s="2" t="s">
        <v>1414</v>
      </c>
      <c r="F102" s="3">
        <f ca="1">(A103-F101)/A106</f>
        <v>868.34613348394248</v>
      </c>
      <c r="G102" s="2" t="s">
        <v>409</v>
      </c>
    </row>
    <row r="103" spans="1:8" x14ac:dyDescent="0.35">
      <c r="A103" s="10">
        <f ca="1">RANDBETWEEN(8,20)*1000</f>
        <v>15000</v>
      </c>
      <c r="B103" s="2" t="s">
        <v>405</v>
      </c>
      <c r="F103" s="12">
        <f ca="1">RANDBETWEEN(3,12)*5/100</f>
        <v>0.5</v>
      </c>
      <c r="G103" s="2" t="s">
        <v>412</v>
      </c>
    </row>
    <row r="104" spans="1:8" x14ac:dyDescent="0.35">
      <c r="A104" s="10">
        <f ca="1">RANDBETWEEN(3,6)*500</f>
        <v>1500</v>
      </c>
      <c r="B104" s="2" t="s">
        <v>406</v>
      </c>
      <c r="F104" s="27">
        <f ca="1">(1+F103)*A102</f>
        <v>36</v>
      </c>
      <c r="G104" s="2" t="s">
        <v>869</v>
      </c>
    </row>
    <row r="105" spans="1:8" x14ac:dyDescent="0.35">
      <c r="A105" s="29">
        <f ca="1">RANDBETWEEN(40,80)/1000</f>
        <v>7.0999999999999994E-2</v>
      </c>
      <c r="B105" s="2" t="s">
        <v>407</v>
      </c>
      <c r="F105" s="10">
        <f ca="1">(A103-A104)+F102*MAX(0,F104-A101)</f>
        <v>18710.076800903655</v>
      </c>
      <c r="G105" s="2" t="s">
        <v>2899</v>
      </c>
    </row>
    <row r="106" spans="1:8" x14ac:dyDescent="0.35">
      <c r="A106" s="13">
        <f ca="1">RANDBETWEEN(22,56)/10</f>
        <v>3.7</v>
      </c>
      <c r="B106" s="2" t="s">
        <v>410</v>
      </c>
      <c r="F106" s="14">
        <f ca="1">IF(ABS(F105/A103-1)&gt;0.03,F105/A103-1,"RECALCULATE")</f>
        <v>0.24733845339357696</v>
      </c>
      <c r="G106" s="2" t="s">
        <v>870</v>
      </c>
    </row>
    <row r="107" spans="1:8" x14ac:dyDescent="0.35">
      <c r="A107" s="2">
        <f ca="1">RANDBETWEEN(14,30)</f>
        <v>23</v>
      </c>
      <c r="B107" s="2" t="s">
        <v>411</v>
      </c>
    </row>
    <row r="108" spans="1:8" ht="16" thickBot="1" x14ac:dyDescent="0.4"/>
    <row r="109" spans="1:8" ht="16.5" thickTop="1" thickBot="1" x14ac:dyDescent="0.4">
      <c r="B109" s="76" t="str">
        <f ca="1">[1]!std_ans($C$109)</f>
        <v>E</v>
      </c>
      <c r="C109" s="79" t="str">
        <f ca="1" xml:space="preserve"> "/\" &amp;RANDBETWEEN( 1,120) &amp; "/\" &amp;RANDBETWEEN( 1,120) &amp; "/\" &amp;0.1 &amp; "/\" &amp; F105</f>
        <v>/\114/\12/\0.1/\18710.0768009037</v>
      </c>
      <c r="D109" s="80" t="s">
        <v>871</v>
      </c>
      <c r="F109" s="76" t="str">
        <f ca="1">[1]!std_ans($G$109)</f>
        <v>C</v>
      </c>
      <c r="G109" s="79" t="str">
        <f ca="1" xml:space="preserve"> "/\" &amp;RANDBETWEEN( 1,120) &amp; "/\" &amp;RANDBETWEEN( 1,120) &amp; "/\" &amp;0.1 &amp; "/\" &amp; F106</f>
        <v>/\62/\94/\0.1/\0.247338453393577</v>
      </c>
      <c r="H109" s="80" t="s">
        <v>872</v>
      </c>
    </row>
    <row r="110" spans="1:8" ht="16" thickTop="1" x14ac:dyDescent="0.35">
      <c r="B110" s="101">
        <f ca="1">[1]!stdnum_A($C$109)</f>
        <v>20581.084480994068</v>
      </c>
      <c r="C110" s="82"/>
      <c r="D110" s="77"/>
      <c r="F110" s="92">
        <f ca="1">[1]!stdnum_A($G$109)</f>
        <v>0.2044119449533694</v>
      </c>
      <c r="G110" s="82"/>
      <c r="H110" s="77"/>
    </row>
    <row r="111" spans="1:8" x14ac:dyDescent="0.35">
      <c r="B111" s="101">
        <f ca="1">[1]!stdnum_B($C$109)</f>
        <v>27393.423444203112</v>
      </c>
      <c r="C111" s="82"/>
      <c r="D111" s="77"/>
      <c r="F111" s="92">
        <f ca="1">[1]!stdnum_B($G$109)</f>
        <v>0.22485313944870636</v>
      </c>
      <c r="G111" s="82"/>
      <c r="H111" s="77"/>
    </row>
    <row r="112" spans="1:8" x14ac:dyDescent="0.35">
      <c r="B112" s="101">
        <f ca="1">[1]!stdnum_C($C$109)</f>
        <v>24903.11222200283</v>
      </c>
      <c r="C112" s="82"/>
      <c r="D112" s="77"/>
      <c r="F112" s="92">
        <f ca="1">[1]!stdnum_C($G$109)</f>
        <v>0.24733845339357699</v>
      </c>
      <c r="G112" s="82"/>
      <c r="H112" s="77"/>
    </row>
    <row r="113" spans="1:8" x14ac:dyDescent="0.35">
      <c r="B113" s="101">
        <f ca="1">[1]!stdnum_D($C$109)</f>
        <v>22639.192929093479</v>
      </c>
      <c r="C113" s="82"/>
      <c r="D113" s="77"/>
      <c r="F113" s="92">
        <f ca="1">[1]!stdnum_D($G$109)</f>
        <v>0.18582904086669941</v>
      </c>
      <c r="G113" s="82"/>
      <c r="H113" s="77"/>
    </row>
    <row r="114" spans="1:8" ht="16" thickBot="1" x14ac:dyDescent="0.4">
      <c r="B114" s="102">
        <f ca="1">[1]!stdnum_E($C$109)</f>
        <v>18710.076800903698</v>
      </c>
      <c r="C114" s="84"/>
      <c r="D114" s="78"/>
      <c r="F114" s="93">
        <f ca="1">[1]!stdnum_E($G$109)</f>
        <v>0.2720722987329347</v>
      </c>
      <c r="G114" s="84"/>
      <c r="H114" s="78"/>
    </row>
    <row r="115" spans="1:8" ht="16" thickTop="1" x14ac:dyDescent="0.35"/>
    <row r="117" spans="1:8" x14ac:dyDescent="0.35">
      <c r="A117" s="88" t="s">
        <v>2508</v>
      </c>
    </row>
    <row r="118" spans="1:8" x14ac:dyDescent="0.35">
      <c r="A118" s="13">
        <f ca="1">RANDBETWEEN(8,20)*2.5</f>
        <v>27.5</v>
      </c>
      <c r="B118" s="2" t="s">
        <v>3815</v>
      </c>
      <c r="F118" s="14">
        <f ca="1">A122+A121/A119</f>
        <v>0.27</v>
      </c>
      <c r="G118" s="2" t="s">
        <v>3499</v>
      </c>
    </row>
    <row r="119" spans="1:8" x14ac:dyDescent="0.35">
      <c r="A119" s="27">
        <f ca="1">MROUND(A118*MIN(vMask30, 1/vMask30),0.05)</f>
        <v>21</v>
      </c>
      <c r="B119" s="2" t="s">
        <v>1414</v>
      </c>
      <c r="F119" s="14">
        <f ca="1">MIN((A119*(1+A122)+A121)/(A119-A120)-1,(A118+A121)/(A119-A120)-1)</f>
        <v>0.63619631901840501</v>
      </c>
      <c r="G119" s="2" t="s">
        <v>3500</v>
      </c>
    </row>
    <row r="120" spans="1:8" x14ac:dyDescent="0.35">
      <c r="A120" s="13">
        <f ca="1">RANDBETWEEN(22,56)/10</f>
        <v>4.7</v>
      </c>
      <c r="B120" s="2" t="s">
        <v>410</v>
      </c>
      <c r="F120" s="114">
        <f ca="1">A119*(1+A122)</f>
        <v>25.62</v>
      </c>
      <c r="G120" s="2" t="s">
        <v>869</v>
      </c>
    </row>
    <row r="121" spans="1:8" x14ac:dyDescent="0.35">
      <c r="A121" s="13">
        <f ca="1">MROUND(A119*RANDBETWEEN(4,10)/100,0.05)</f>
        <v>1.05</v>
      </c>
      <c r="B121" s="2" t="s">
        <v>3498</v>
      </c>
      <c r="F121" s="14">
        <f ca="1">(F119-F118)</f>
        <v>0.36619631901840499</v>
      </c>
      <c r="G121" s="2" t="s">
        <v>2872</v>
      </c>
    </row>
    <row r="122" spans="1:8" x14ac:dyDescent="0.35">
      <c r="A122" s="12">
        <f ca="1">RANDBETWEEN(10,30)/100</f>
        <v>0.22</v>
      </c>
      <c r="B122" s="2" t="s">
        <v>412</v>
      </c>
    </row>
    <row r="123" spans="1:8" ht="16" thickBot="1" x14ac:dyDescent="0.4"/>
    <row r="124" spans="1:8" ht="16.5" thickTop="1" thickBot="1" x14ac:dyDescent="0.4">
      <c r="B124" s="76" t="str">
        <f ca="1">[1]!std_ans($C$124)</f>
        <v>C</v>
      </c>
      <c r="C124" s="79" t="str">
        <f ca="1" xml:space="preserve"> "/\" &amp;RANDBETWEEN( 1,120) &amp; "/\" &amp;RANDBETWEEN( 1,120) &amp; "/\" &amp;0.1 &amp; "/\" &amp; F119</f>
        <v>/\115/\24/\0.1/\0.636196319018405</v>
      </c>
      <c r="D124" s="80" t="s">
        <v>2873</v>
      </c>
      <c r="F124" s="76" t="str">
        <f ca="1">[1]!std_ans($G$124)</f>
        <v>E</v>
      </c>
      <c r="G124" s="79" t="str">
        <f ca="1" xml:space="preserve"> "/\" &amp;RANDBETWEEN( 1,120) &amp; "/\" &amp;RANDBETWEEN( 1,120) &amp; "/\" &amp;0.1 &amp; "/\" &amp; F121</f>
        <v>/\94/\72/\0.1/\0.366196319018405</v>
      </c>
      <c r="H124" s="80" t="s">
        <v>2874</v>
      </c>
    </row>
    <row r="125" spans="1:8" ht="16" thickTop="1" x14ac:dyDescent="0.35">
      <c r="B125" s="92">
        <f ca="1">[1]!stdnum_A($C$124)</f>
        <v>0.69981595092024562</v>
      </c>
      <c r="C125" s="82"/>
      <c r="D125" s="77"/>
      <c r="F125" s="92">
        <f ca="1">[1]!stdnum_A($G$124)</f>
        <v>0.33290574456218636</v>
      </c>
      <c r="G125" s="82"/>
      <c r="H125" s="77"/>
    </row>
    <row r="126" spans="1:8" x14ac:dyDescent="0.35">
      <c r="B126" s="92">
        <f ca="1">[1]!stdnum_B($C$124)</f>
        <v>0.76979754601227013</v>
      </c>
      <c r="C126" s="82"/>
      <c r="D126" s="77"/>
      <c r="F126" s="92">
        <f ca="1">[1]!stdnum_B($G$124)</f>
        <v>0.3026415859656239</v>
      </c>
      <c r="G126" s="82"/>
      <c r="H126" s="77"/>
    </row>
    <row r="127" spans="1:8" x14ac:dyDescent="0.35">
      <c r="B127" s="92">
        <f ca="1">[1]!stdnum_C($C$124)</f>
        <v>0.63619631901840501</v>
      </c>
      <c r="C127" s="82"/>
      <c r="D127" s="77"/>
      <c r="F127" s="92">
        <f ca="1">[1]!stdnum_C($G$124)</f>
        <v>0.44309754601227008</v>
      </c>
      <c r="G127" s="82"/>
      <c r="H127" s="77"/>
    </row>
    <row r="128" spans="1:8" x14ac:dyDescent="0.35">
      <c r="B128" s="92">
        <f ca="1">[1]!stdnum_D($C$124)</f>
        <v>0.93145503067484703</v>
      </c>
      <c r="C128" s="82"/>
      <c r="D128" s="77"/>
      <c r="F128" s="92">
        <f ca="1">[1]!stdnum_D($G$124)</f>
        <v>0.40281595092024552</v>
      </c>
      <c r="G128" s="82"/>
      <c r="H128" s="77"/>
    </row>
    <row r="129" spans="1:8" ht="16" thickBot="1" x14ac:dyDescent="0.4">
      <c r="B129" s="93">
        <f ca="1">[1]!stdnum_E($C$124)</f>
        <v>0.84677730061349732</v>
      </c>
      <c r="C129" s="84"/>
      <c r="D129" s="78"/>
      <c r="F129" s="93">
        <f ca="1">[1]!stdnum_E($G$124)</f>
        <v>0.36619631901840499</v>
      </c>
      <c r="G129" s="84"/>
      <c r="H129" s="78"/>
    </row>
    <row r="130" spans="1:8" ht="16" thickTop="1" x14ac:dyDescent="0.35"/>
    <row r="132" spans="1:8" x14ac:dyDescent="0.35">
      <c r="A132" s="88" t="s">
        <v>3350</v>
      </c>
    </row>
    <row r="133" spans="1:8" x14ac:dyDescent="0.35">
      <c r="A133" s="13">
        <f ca="1">RANDBETWEEN(8,20)*2.5</f>
        <v>37.5</v>
      </c>
      <c r="B133" s="2" t="s">
        <v>3815</v>
      </c>
      <c r="F133" s="27">
        <f ca="1">A134+A135</f>
        <v>41</v>
      </c>
      <c r="G133" s="2" t="s">
        <v>295</v>
      </c>
    </row>
    <row r="134" spans="1:8" x14ac:dyDescent="0.35">
      <c r="A134" s="27">
        <f ca="1">MROUND(A133*(1+RANDBETWEEN(16,25)/100)^(IF(RANDBETWEEN(0,1)=0,1,-1)),0.05)</f>
        <v>30.25</v>
      </c>
      <c r="B134" s="2" t="s">
        <v>1414</v>
      </c>
      <c r="F134" s="27">
        <f ca="1">MAX(A133,A134*(1+A136))</f>
        <v>38.417500000000004</v>
      </c>
      <c r="G134" s="2" t="s">
        <v>296</v>
      </c>
    </row>
    <row r="135" spans="1:8" x14ac:dyDescent="0.35">
      <c r="A135" s="13">
        <f ca="1">RANDBETWEEN(22,56)/10+ MAX(0,A133-A134)</f>
        <v>10.75</v>
      </c>
      <c r="B135" s="2" t="s">
        <v>294</v>
      </c>
      <c r="F135" s="14">
        <f ca="1">IF(ABS(F134/F133-1)&lt;0.05,"RECALCULATE",F134/F133-1)</f>
        <v>-6.298780487804867E-2</v>
      </c>
      <c r="G135" s="2" t="s">
        <v>870</v>
      </c>
    </row>
    <row r="136" spans="1:8" x14ac:dyDescent="0.35">
      <c r="A136" s="12">
        <f ca="1">(-1)^RANDBETWEEN(1,3)*RANDBETWEEN(10,30)/100</f>
        <v>0.27</v>
      </c>
      <c r="B136" s="2" t="s">
        <v>412</v>
      </c>
    </row>
    <row r="137" spans="1:8" ht="16" thickBot="1" x14ac:dyDescent="0.4"/>
    <row r="138" spans="1:8" ht="16.5" thickTop="1" thickBot="1" x14ac:dyDescent="0.4">
      <c r="B138" s="76" t="str">
        <f ca="1">[1]!std_ans($C$138)</f>
        <v>C</v>
      </c>
      <c r="C138" s="79" t="str">
        <f ca="1" xml:space="preserve"> "/\" &amp;RANDBETWEEN( 1,120) &amp; "/\" &amp;RANDBETWEEN( 1,120) &amp; "/\" &amp;0.1 &amp; "/\" &amp; F135</f>
        <v>/\37/\61/\0.1/\-0.0629878048780487</v>
      </c>
      <c r="D138" s="80" t="s">
        <v>297</v>
      </c>
    </row>
    <row r="139" spans="1:8" ht="16" thickTop="1" x14ac:dyDescent="0.35">
      <c r="B139" s="92">
        <f ca="1">[1]!stdnum_A($C$138)</f>
        <v>-6.9286585365853567E-2</v>
      </c>
      <c r="C139" s="82"/>
      <c r="D139" s="77"/>
    </row>
    <row r="140" spans="1:8" x14ac:dyDescent="0.35">
      <c r="B140" s="92">
        <f ca="1">[1]!stdnum_B($C$138)</f>
        <v>-5.7261640798226085E-2</v>
      </c>
      <c r="C140" s="82"/>
      <c r="D140" s="77"/>
    </row>
    <row r="141" spans="1:8" x14ac:dyDescent="0.35">
      <c r="B141" s="92">
        <f ca="1">[1]!stdnum_C($C$138)</f>
        <v>-6.2987804878048698E-2</v>
      </c>
      <c r="C141" s="82"/>
      <c r="D141" s="77"/>
    </row>
    <row r="142" spans="1:8" x14ac:dyDescent="0.35">
      <c r="B142" s="92">
        <f ca="1">[1]!stdnum_D($C$138)</f>
        <v>-5.2056037089296438E-2</v>
      </c>
      <c r="C142" s="82"/>
      <c r="D142" s="77"/>
    </row>
    <row r="143" spans="1:8" ht="16" thickBot="1" x14ac:dyDescent="0.4">
      <c r="B143" s="93">
        <f ca="1">[1]!stdnum_E($C$138)</f>
        <v>-7.6215243902438931E-2</v>
      </c>
      <c r="C143" s="84"/>
      <c r="D143" s="78"/>
    </row>
    <row r="144" spans="1:8" ht="16" thickTop="1" x14ac:dyDescent="0.35"/>
    <row r="146" spans="1:7" x14ac:dyDescent="0.35">
      <c r="A146" s="88" t="s">
        <v>3351</v>
      </c>
    </row>
    <row r="147" spans="1:7" x14ac:dyDescent="0.35">
      <c r="A147" s="13">
        <f ca="1">RANDBETWEEN(8,20)*2.5</f>
        <v>37.5</v>
      </c>
      <c r="B147" s="2" t="s">
        <v>3815</v>
      </c>
      <c r="F147" s="27">
        <f ca="1">A148+A149</f>
        <v>42.7</v>
      </c>
      <c r="G147" s="2" t="s">
        <v>295</v>
      </c>
    </row>
    <row r="148" spans="1:7" x14ac:dyDescent="0.35">
      <c r="A148" s="27">
        <f ca="1">MROUND(A147*(1+RANDBETWEEN(16,25)/100)^(IF(RANDBETWEEN(0,1)=0,1,-1)),0.05)</f>
        <v>31</v>
      </c>
      <c r="B148" s="2" t="s">
        <v>1414</v>
      </c>
      <c r="F148" s="14">
        <f ca="1">A147/F147-1</f>
        <v>-0.12177985948477754</v>
      </c>
      <c r="G148" s="2" t="s">
        <v>299</v>
      </c>
    </row>
    <row r="149" spans="1:7" x14ac:dyDescent="0.35">
      <c r="A149" s="13">
        <f ca="1">RANDBETWEEN(22,56)/10+ MAX(0,A147-A148)</f>
        <v>11.7</v>
      </c>
      <c r="B149" s="2" t="s">
        <v>294</v>
      </c>
      <c r="F149" s="14"/>
    </row>
    <row r="150" spans="1:7" ht="16" thickBot="1" x14ac:dyDescent="0.4">
      <c r="A150" s="12"/>
    </row>
    <row r="151" spans="1:7" ht="16.5" thickTop="1" thickBot="1" x14ac:dyDescent="0.4">
      <c r="B151" s="76" t="str">
        <f ca="1">[1]!std_ans($C$151)</f>
        <v>B</v>
      </c>
      <c r="C151" s="79" t="str">
        <f ca="1" xml:space="preserve"> "/\" &amp;RANDBETWEEN( 1,120) &amp; "/\" &amp;RANDBETWEEN( 1,120) &amp; "/\" &amp;0.1 &amp; "/\" &amp; F148</f>
        <v>/\78/\2/\0.1/\-0.121779859484778</v>
      </c>
      <c r="D151" s="80" t="s">
        <v>298</v>
      </c>
    </row>
    <row r="152" spans="1:7" ht="16" thickTop="1" x14ac:dyDescent="0.35">
      <c r="B152" s="92">
        <f ca="1">[1]!stdnum_A($C$151)</f>
        <v>-0.17829789227166351</v>
      </c>
      <c r="C152" s="82"/>
      <c r="D152" s="77"/>
    </row>
    <row r="153" spans="1:7" x14ac:dyDescent="0.35">
      <c r="B153" s="92">
        <f ca="1">[1]!stdnum_B($C$151)</f>
        <v>-0.121779859484778</v>
      </c>
      <c r="C153" s="82"/>
      <c r="D153" s="77"/>
    </row>
    <row r="154" spans="1:7" x14ac:dyDescent="0.35">
      <c r="B154" s="92">
        <f ca="1">[1]!stdnum_C($C$151)</f>
        <v>-0.16208899297423957</v>
      </c>
      <c r="C154" s="82"/>
      <c r="D154" s="77"/>
    </row>
    <row r="155" spans="1:7" x14ac:dyDescent="0.35">
      <c r="B155" s="92">
        <f ca="1">[1]!stdnum_D($C$151)</f>
        <v>-0.14735362997658141</v>
      </c>
      <c r="C155" s="82"/>
      <c r="D155" s="77"/>
    </row>
    <row r="156" spans="1:7" ht="16" thickBot="1" x14ac:dyDescent="0.4">
      <c r="B156" s="93">
        <f ca="1">[1]!stdnum_E($C$151)</f>
        <v>-0.13395784543325581</v>
      </c>
      <c r="C156" s="84"/>
      <c r="D156" s="78"/>
    </row>
    <row r="157" spans="1:7" ht="16" thickTop="1" x14ac:dyDescent="0.35"/>
    <row r="159" spans="1:7" x14ac:dyDescent="0.35">
      <c r="A159" s="88" t="s">
        <v>1907</v>
      </c>
    </row>
    <row r="160" spans="1:7" x14ac:dyDescent="0.35">
      <c r="A160" s="13">
        <f ca="1">RANDBETWEEN(8,20)*2.5</f>
        <v>40</v>
      </c>
      <c r="B160" s="2" t="s">
        <v>3815</v>
      </c>
      <c r="F160" s="27">
        <f ca="1">A161+A162</f>
        <v>51.2</v>
      </c>
      <c r="G160" s="2" t="s">
        <v>295</v>
      </c>
    </row>
    <row r="161" spans="1:13" x14ac:dyDescent="0.35">
      <c r="A161" s="27">
        <f ca="1">MROUND(A160*(1+RANDBETWEEN(16,25)/100)^(IF(RANDBETWEEN(0,1)=0,1,-1)),0.05)</f>
        <v>46.400000000000006</v>
      </c>
      <c r="B161" s="2" t="s">
        <v>1414</v>
      </c>
      <c r="F161" s="27">
        <f ca="1">F160*(1+A163)</f>
        <v>45.056000000000004</v>
      </c>
      <c r="G161" s="2" t="s">
        <v>296</v>
      </c>
    </row>
    <row r="162" spans="1:13" x14ac:dyDescent="0.35">
      <c r="A162" s="13">
        <f ca="1">RANDBETWEEN(22,56)/10+ MAX(0,A160-A161)</f>
        <v>4.8</v>
      </c>
      <c r="B162" s="2" t="s">
        <v>294</v>
      </c>
      <c r="F162" s="27">
        <f ca="1">F161</f>
        <v>45.056000000000004</v>
      </c>
      <c r="G162" s="2" t="s">
        <v>300</v>
      </c>
    </row>
    <row r="163" spans="1:13" x14ac:dyDescent="0.35">
      <c r="A163" s="12">
        <f ca="1">(-1)^RANDBETWEEN(1,3)*RANDBETWEEN(10,30)/100</f>
        <v>-0.12</v>
      </c>
      <c r="B163" s="2" t="s">
        <v>870</v>
      </c>
      <c r="F163" s="12">
        <f ca="1">A160/F160-1</f>
        <v>-0.21875</v>
      </c>
      <c r="G163" s="2" t="s">
        <v>365</v>
      </c>
    </row>
    <row r="164" spans="1:13" ht="16" thickBot="1" x14ac:dyDescent="0.4"/>
    <row r="165" spans="1:13" ht="16.5" thickTop="1" thickBot="1" x14ac:dyDescent="0.4">
      <c r="B165" s="76" t="str">
        <f ca="1">IF(A163&lt;F163,"E",[1]!std_ans($C$165))</f>
        <v>E</v>
      </c>
      <c r="C165" s="79" t="str">
        <f ca="1" xml:space="preserve"> "/\" &amp;RANDBETWEEN( 1,120) &amp; "/\" &amp;RANDBETWEEN( 1,120) &amp; "/\" &amp;0.1 &amp; "/\" &amp; F162</f>
        <v>/\108/\19/\0.1/\45.056</v>
      </c>
      <c r="D165" s="80" t="s">
        <v>364</v>
      </c>
    </row>
    <row r="166" spans="1:13" ht="16" thickTop="1" x14ac:dyDescent="0.35">
      <c r="B166" s="96">
        <f ca="1">[1]!stdnum_A($C$165)</f>
        <v>59.969536000000012</v>
      </c>
      <c r="C166" s="82"/>
      <c r="D166" s="77"/>
    </row>
    <row r="167" spans="1:13" x14ac:dyDescent="0.35">
      <c r="B167" s="96">
        <f ca="1">[1]!stdnum_B($C$165)</f>
        <v>65.966489600000017</v>
      </c>
      <c r="C167" s="82"/>
      <c r="D167" s="77"/>
    </row>
    <row r="168" spans="1:13" x14ac:dyDescent="0.35">
      <c r="B168" s="96">
        <f ca="1">[1]!stdnum_C($C$165)</f>
        <v>54.517760000000003</v>
      </c>
      <c r="C168" s="82"/>
      <c r="D168" s="77"/>
    </row>
    <row r="169" spans="1:13" x14ac:dyDescent="0.35">
      <c r="B169" s="96">
        <f ca="1">[1]!stdnum_D($C$165)</f>
        <v>49.561599999999999</v>
      </c>
      <c r="C169" s="82"/>
      <c r="D169" s="77"/>
    </row>
    <row r="170" spans="1:13" ht="16" thickBot="1" x14ac:dyDescent="0.4">
      <c r="B170" s="97">
        <f ca="1">IF([1]!stdnum_E($C$165)&lt;&gt;F162,"it's impossible to get this ROR",IF(A163&lt;F163,"it's impossible to get this ROR",[1]!stdnum_E($C$165)))</f>
        <v>45.055999999999997</v>
      </c>
      <c r="C170" s="84"/>
      <c r="D170" s="78"/>
    </row>
    <row r="171" spans="1:13" ht="16" thickTop="1" x14ac:dyDescent="0.35"/>
    <row r="173" spans="1:13" x14ac:dyDescent="0.35">
      <c r="A173" s="88" t="s">
        <v>1847</v>
      </c>
    </row>
    <row r="174" spans="1:13" x14ac:dyDescent="0.35">
      <c r="A174" s="20">
        <f ca="1">RANDBETWEEN(30,45)*10</f>
        <v>360</v>
      </c>
      <c r="B174" s="2" t="s">
        <v>2430</v>
      </c>
      <c r="F174" s="20">
        <f ca="1">ABS(A175-A177)*A178</f>
        <v>19070.631970260238</v>
      </c>
      <c r="G174" s="2" t="s">
        <v>2084</v>
      </c>
    </row>
    <row r="175" spans="1:13" x14ac:dyDescent="0.35">
      <c r="A175" s="20">
        <f ca="1">ROUND((1+RANDBETWEEN(8,13)/100)^(IF(RANDBETWEEN(0,1)=0,1,-1))*A174/(1+A176),-1)</f>
        <v>360</v>
      </c>
      <c r="B175" s="2" t="s">
        <v>2431</v>
      </c>
      <c r="F175" s="4" t="str">
        <f ca="1">IF(A177&gt;A175,"short","long")</f>
        <v>long</v>
      </c>
      <c r="G175" s="2" t="s">
        <v>2329</v>
      </c>
      <c r="L175" s="2" t="s">
        <v>232</v>
      </c>
      <c r="M175" s="2" t="str">
        <f ca="1">F175&amp;" position in the futures market and a "&amp;F176</f>
        <v>long position in the futures market and a short</v>
      </c>
    </row>
    <row r="176" spans="1:13" x14ac:dyDescent="0.35">
      <c r="A176" s="7">
        <f ca="1">RANDBETWEEN(55,105)/1000</f>
        <v>7.5999999999999998E-2</v>
      </c>
      <c r="B176" s="2" t="s">
        <v>2058</v>
      </c>
      <c r="F176" s="4" t="str">
        <f ca="1">IF(A177&lt;A175,"short","long")</f>
        <v>short</v>
      </c>
      <c r="G176" s="2" t="s">
        <v>2330</v>
      </c>
      <c r="L176" s="2" t="s">
        <v>359</v>
      </c>
      <c r="M176" s="2" t="str">
        <f ca="1">F176&amp;" position in the futures market and a "&amp;F175</f>
        <v>short position in the futures market and a long</v>
      </c>
    </row>
    <row r="177" spans="1:8" x14ac:dyDescent="0.35">
      <c r="A177" s="26">
        <f ca="1">A174/(1+A176)</f>
        <v>334.57249070631968</v>
      </c>
      <c r="B177" s="2" t="s">
        <v>1492</v>
      </c>
      <c r="F177" s="26">
        <f ca="1">A175*(1+A176)</f>
        <v>387.36</v>
      </c>
      <c r="G177" s="2" t="s">
        <v>982</v>
      </c>
    </row>
    <row r="178" spans="1:8" x14ac:dyDescent="0.35">
      <c r="A178" s="4">
        <f ca="1">250*RANDBETWEEN(3,8)</f>
        <v>750</v>
      </c>
      <c r="B178" s="2" t="s">
        <v>1493</v>
      </c>
      <c r="F178" s="21">
        <f ca="1">A178*ABS(A174-F177)</f>
        <v>20520.000000000011</v>
      </c>
      <c r="G178" s="2" t="s">
        <v>2858</v>
      </c>
    </row>
    <row r="180" spans="1:8" ht="16" thickBot="1" x14ac:dyDescent="0.4">
      <c r="B180" s="120" t="s">
        <v>658</v>
      </c>
      <c r="F180" s="120" t="s">
        <v>1849</v>
      </c>
    </row>
    <row r="181" spans="1:8" ht="16.5" thickTop="1" thickBot="1" x14ac:dyDescent="0.4">
      <c r="B181" s="76" t="str">
        <f ca="1">[1]!std_ans($C$181)</f>
        <v>B</v>
      </c>
      <c r="C181" s="79" t="str">
        <f ca="1" xml:space="preserve"> "/\" &amp;RANDBETWEEN( 1,120) &amp; "/\" &amp;RANDBETWEEN( 1,120) &amp; "/\" &amp;0.1 &amp; "/\" &amp; F174</f>
        <v>/\27/\25/\0.1/\19070.6319702602</v>
      </c>
      <c r="D181" s="80" t="s">
        <v>1848</v>
      </c>
      <c r="F181" s="76" t="str">
        <f ca="1">[1]!alpha_ans($G$181)</f>
        <v>A</v>
      </c>
      <c r="G181" s="79" t="str">
        <f ca="1" xml:space="preserve"> "/\" &amp;RANDBETWEEN( 1,5) &amp; "/\" &amp;RANDBETWEEN( 1,120) &amp; "/\" &amp;RANDBETWEEN( 1,6) &amp; "/\" &amp;RANDBETWEEN( 1,2) &amp; "/\" &amp; F174 &amp; "/\" &amp; "Mask" &amp; "/\" &amp; "Mask" &amp; "/\" &amp; M175 &amp; "/\" &amp; M176</f>
        <v>/\1/\43/\4/\2/\19070.6319702602/\Mask/\Mask/\long position in the futures market and a short/\short position in the futures market and a long</v>
      </c>
      <c r="H181" s="80" t="s">
        <v>1234</v>
      </c>
    </row>
    <row r="182" spans="1:8" ht="16" thickTop="1" x14ac:dyDescent="0.35">
      <c r="B182" s="110">
        <f ca="1">[1]!stdnum_A($C$181)</f>
        <v>17336.938154782001</v>
      </c>
      <c r="C182" s="82"/>
      <c r="D182" s="77"/>
      <c r="F182" s="110">
        <f ca="1">[1]!onepair_A($G$181)</f>
        <v>19070.631970260201</v>
      </c>
      <c r="G182" s="82" t="str">
        <f ca="1">[1]!onepair_A2($G$181)</f>
        <v>long position in the futures market and a short</v>
      </c>
      <c r="H182" s="77"/>
    </row>
    <row r="183" spans="1:8" x14ac:dyDescent="0.35">
      <c r="B183" s="110">
        <f ca="1">[1]!stdnum_B($C$181)</f>
        <v>19070.631970260201</v>
      </c>
      <c r="C183" s="82"/>
      <c r="D183" s="77"/>
      <c r="F183" s="110">
        <f ca="1">[1]!onepair_B($G$181)</f>
        <v>16583.158235008901</v>
      </c>
      <c r="G183" s="82" t="str">
        <f ca="1">[1]!onepair_B2($G$181)</f>
        <v>short position in the futures market and a long</v>
      </c>
      <c r="H183" s="77"/>
    </row>
    <row r="184" spans="1:8" x14ac:dyDescent="0.35">
      <c r="B184" s="110">
        <f ca="1">[1]!stdnum_C($C$181)</f>
        <v>23075.464684014849</v>
      </c>
      <c r="C184" s="82"/>
      <c r="D184" s="77"/>
      <c r="F184" s="110">
        <f ca="1">[1]!onepair_C($G$181)</f>
        <v>19070.631970260201</v>
      </c>
      <c r="G184" s="82" t="str">
        <f ca="1">[1]!onepair_C2($G$181)</f>
        <v>short position in the futures market and a long</v>
      </c>
      <c r="H184" s="77"/>
    </row>
    <row r="185" spans="1:8" x14ac:dyDescent="0.35">
      <c r="B185" s="110">
        <f ca="1">[1]!stdnum_D($C$181)</f>
        <v>20977.695167286223</v>
      </c>
      <c r="C185" s="82"/>
      <c r="D185" s="77"/>
      <c r="F185" s="110">
        <f ca="1">[1]!onepair_D($G$181)</f>
        <v>21931.226765799202</v>
      </c>
      <c r="G185" s="82" t="str">
        <f ca="1">[1]!onepair_D2($G$181)</f>
        <v>short position in the futures market and a long</v>
      </c>
      <c r="H185" s="77"/>
    </row>
    <row r="186" spans="1:8" ht="16" thickBot="1" x14ac:dyDescent="0.4">
      <c r="B186" s="111">
        <f ca="1">[1]!stdnum_E($C$181)</f>
        <v>25383.011152416337</v>
      </c>
      <c r="C186" s="84"/>
      <c r="D186" s="78"/>
      <c r="F186" s="111">
        <f ca="1">[1]!onepair_E($G$181)</f>
        <v>16583.158235008901</v>
      </c>
      <c r="G186" s="84" t="str">
        <f ca="1">[1]!onepair_E2($G$181)</f>
        <v>long position in the futures market and a short</v>
      </c>
      <c r="H186" s="78"/>
    </row>
    <row r="187" spans="1:8" ht="16" thickTop="1" x14ac:dyDescent="0.35"/>
    <row r="189" spans="1:8" x14ac:dyDescent="0.35">
      <c r="A189" s="88" t="s">
        <v>1236</v>
      </c>
    </row>
    <row r="190" spans="1:8" x14ac:dyDescent="0.35">
      <c r="A190" s="26">
        <f ca="1">RANDBETWEEN(10,50)/10</f>
        <v>1.2</v>
      </c>
      <c r="B190" s="2" t="s">
        <v>2726</v>
      </c>
      <c r="F190" s="13">
        <f ca="1">A192*A193*A190</f>
        <v>54</v>
      </c>
      <c r="G190" s="2" t="s">
        <v>3289</v>
      </c>
    </row>
    <row r="191" spans="1:8" x14ac:dyDescent="0.35">
      <c r="A191" s="26">
        <f ca="1">ROUND(A190*CHOOSE(RANDBETWEEN(1,3),(IF(RANDBETWEEN(0,1)=0,1/1.05,1.05)),(IF(RANDBETWEEN(0,1)=0,1/1.1,1.1)),(IF(RANDBETWEEN(0,1)=0,1/1.2,1.2))),2)</f>
        <v>1.26</v>
      </c>
      <c r="B191" s="2" t="s">
        <v>2727</v>
      </c>
      <c r="F191" s="8">
        <f ca="1">IF(A194="long",(A191-A190)*A193,(A190-A191)*A193)</f>
        <v>180.00000000000017</v>
      </c>
      <c r="G191" s="2" t="s">
        <v>3203</v>
      </c>
    </row>
    <row r="192" spans="1:8" x14ac:dyDescent="0.35">
      <c r="A192" s="19">
        <f ca="1">RANDBETWEEN(2,12)*25/10000</f>
        <v>1.4999999999999999E-2</v>
      </c>
      <c r="B192" s="2" t="s">
        <v>2728</v>
      </c>
      <c r="F192" s="12">
        <f ca="1">F191/F190</f>
        <v>3.3333333333333366</v>
      </c>
      <c r="G192" s="6" t="s">
        <v>3204</v>
      </c>
    </row>
    <row r="193" spans="1:12" x14ac:dyDescent="0.35">
      <c r="A193" s="4">
        <f ca="1">250*RANDBETWEEN(4,12)</f>
        <v>3000</v>
      </c>
      <c r="B193" s="2" t="s">
        <v>3287</v>
      </c>
    </row>
    <row r="194" spans="1:12" x14ac:dyDescent="0.35">
      <c r="A194" s="4" t="str">
        <f ca="1">IF(RANDBETWEEN(0,1)=0,"short","long")</f>
        <v>long</v>
      </c>
      <c r="B194" s="2" t="s">
        <v>3288</v>
      </c>
    </row>
    <row r="196" spans="1:12" ht="16" thickBot="1" x14ac:dyDescent="0.4">
      <c r="B196" s="120" t="s">
        <v>1235</v>
      </c>
      <c r="F196" s="120" t="s">
        <v>1238</v>
      </c>
      <c r="J196" s="120" t="s">
        <v>567</v>
      </c>
    </row>
    <row r="197" spans="1:12" ht="16.5" thickTop="1" thickBot="1" x14ac:dyDescent="0.4">
      <c r="B197" s="76" t="str">
        <f ca="1">[1]!std_ans($C$197)</f>
        <v>A</v>
      </c>
      <c r="C197" s="79" t="str">
        <f ca="1" xml:space="preserve"> "/\" &amp;RANDBETWEEN( 1,120) &amp; "/\" &amp;RANDBETWEEN( 1,120) &amp; "/\" &amp;0.1 &amp; "/\" &amp; F191</f>
        <v>/\6/\19/\0.1/\180</v>
      </c>
      <c r="D197" s="80" t="s">
        <v>1237</v>
      </c>
      <c r="F197" s="76" t="str">
        <f ca="1">[1]!std_ans($G$197)</f>
        <v>B</v>
      </c>
      <c r="G197" s="79" t="str">
        <f ca="1" xml:space="preserve"> "/\" &amp;RANDBETWEEN( 1,120) &amp; "/\" &amp;RANDBETWEEN( 1,120) &amp; "/\" &amp;0.1 &amp; "/\" &amp; F192</f>
        <v>/\52/\4/\0.1/\3.33333333333334</v>
      </c>
      <c r="H197" s="80" t="s">
        <v>2403</v>
      </c>
      <c r="J197" s="76" t="str">
        <f ca="1">[1]!alpha_ans($K$197)</f>
        <v>D</v>
      </c>
      <c r="K197" s="79" t="str">
        <f ca="1" xml:space="preserve"> "/\" &amp;RANDBETWEEN( 1,5) &amp; "/\" &amp;RANDBETWEEN( 1,120) &amp; "/\" &amp;RANDBETWEEN( 1,6) &amp; "/\" &amp;RANDBETWEEN( 1,2) &amp; "/\" &amp; F191 &amp; "/\" &amp; "Mask" &amp; "/\" &amp; "Mask" &amp; "/\" &amp; F192 &amp; "/\" &amp; "Mask"</f>
        <v>/\4/\105/\1/\1/\180/\Mask/\Mask/\3.33333333333334/\Mask</v>
      </c>
      <c r="L197" s="80" t="s">
        <v>568</v>
      </c>
    </row>
    <row r="198" spans="1:12" ht="16" thickTop="1" x14ac:dyDescent="0.35">
      <c r="B198" s="110">
        <f ca="1">[1]!stdnum_A($C$197)</f>
        <v>180</v>
      </c>
      <c r="C198" s="82"/>
      <c r="D198" s="77"/>
      <c r="F198" s="145">
        <f ca="1">[1]!stdnum_A($G$197)</f>
        <v>4.4366666666666772</v>
      </c>
      <c r="G198" s="82"/>
      <c r="H198" s="77"/>
      <c r="J198" s="110">
        <f ca="1">[1]!onepair_A($K$197)</f>
        <v>238.05</v>
      </c>
      <c r="K198" s="278">
        <f ca="1">[1]!onepair_A2($K$197)</f>
        <v>2.89855072463769</v>
      </c>
      <c r="L198" s="77"/>
    </row>
    <row r="199" spans="1:12" x14ac:dyDescent="0.35">
      <c r="B199" s="110">
        <f ca="1">[1]!stdnum_B($C$197)</f>
        <v>263.53800000000007</v>
      </c>
      <c r="C199" s="82"/>
      <c r="D199" s="77"/>
      <c r="F199" s="145">
        <f ca="1">[1]!stdnum_B($G$197)</f>
        <v>3.3333333333333401</v>
      </c>
      <c r="G199" s="82"/>
      <c r="H199" s="77"/>
      <c r="J199" s="110">
        <f ca="1">[1]!onepair_B($K$197)</f>
        <v>207</v>
      </c>
      <c r="K199" s="278">
        <f ca="1">[1]!onepair_B2($K$197)</f>
        <v>3.3333333333333401</v>
      </c>
      <c r="L199" s="77"/>
    </row>
    <row r="200" spans="1:12" x14ac:dyDescent="0.35">
      <c r="B200" s="110">
        <f ca="1">[1]!stdnum_C($C$197)</f>
        <v>239.58000000000007</v>
      </c>
      <c r="C200" s="82"/>
      <c r="D200" s="77"/>
      <c r="F200" s="145">
        <f ca="1">[1]!stdnum_C($G$197)</f>
        <v>4.8803333333333443</v>
      </c>
      <c r="G200" s="82"/>
      <c r="H200" s="77"/>
      <c r="J200" s="110">
        <f ca="1">[1]!onepair_C($K$197)</f>
        <v>207</v>
      </c>
      <c r="K200" s="278">
        <f ca="1">[1]!onepair_C2($K$197)</f>
        <v>2.89855072463769</v>
      </c>
      <c r="L200" s="77"/>
    </row>
    <row r="201" spans="1:12" x14ac:dyDescent="0.35">
      <c r="B201" s="110">
        <f ca="1">[1]!stdnum_D($C$197)</f>
        <v>217.80000000000004</v>
      </c>
      <c r="C201" s="82"/>
      <c r="D201" s="77"/>
      <c r="F201" s="145">
        <f ca="1">[1]!stdnum_D($G$197)</f>
        <v>4.0333333333333421</v>
      </c>
      <c r="G201" s="82"/>
      <c r="H201" s="77"/>
      <c r="J201" s="110">
        <f ca="1">[1]!onepair_D($K$197)</f>
        <v>180</v>
      </c>
      <c r="K201" s="278">
        <f ca="1">[1]!onepair_D2($K$197)</f>
        <v>3.3333333333333401</v>
      </c>
      <c r="L201" s="77"/>
    </row>
    <row r="202" spans="1:12" ht="16" thickBot="1" x14ac:dyDescent="0.4">
      <c r="B202" s="111">
        <f ca="1">[1]!stdnum_E($C$197)</f>
        <v>198.00000000000003</v>
      </c>
      <c r="C202" s="84"/>
      <c r="D202" s="78"/>
      <c r="F202" s="146">
        <f ca="1">[1]!stdnum_E($G$197)</f>
        <v>3.6666666666666745</v>
      </c>
      <c r="G202" s="84"/>
      <c r="H202" s="78"/>
      <c r="J202" s="111">
        <f ca="1">[1]!onepair_E($K$197)</f>
        <v>238.05</v>
      </c>
      <c r="K202" s="279">
        <f ca="1">[1]!onepair_E2($K$197)</f>
        <v>3.3333333333333401</v>
      </c>
      <c r="L202" s="78"/>
    </row>
    <row r="203" spans="1:12" ht="16" thickTop="1" x14ac:dyDescent="0.35"/>
    <row r="205" spans="1:12" x14ac:dyDescent="0.35">
      <c r="A205" s="88" t="s">
        <v>1613</v>
      </c>
    </row>
    <row r="206" spans="1:12" x14ac:dyDescent="0.35">
      <c r="A206" s="20">
        <f ca="1">RANDBETWEEN(8,15)*10000</f>
        <v>110000</v>
      </c>
      <c r="B206" s="2" t="s">
        <v>1813</v>
      </c>
      <c r="D206" s="2">
        <f ca="1">RANDBETWEEN(0,1)</f>
        <v>1</v>
      </c>
      <c r="E206" s="2" t="str">
        <f ca="1">IF(D206=0,"appreciated","depreciated")</f>
        <v>depreciated</v>
      </c>
      <c r="F206" s="62" t="s">
        <v>3450</v>
      </c>
      <c r="H206" s="6" t="s">
        <v>2691</v>
      </c>
      <c r="I206" s="2" t="str">
        <f ca="1">INDEX(H207:H211,RANDBETWEEN(1,5))</f>
        <v>peso</v>
      </c>
    </row>
    <row r="207" spans="1:12" x14ac:dyDescent="0.35">
      <c r="A207" s="23">
        <f ca="1">RANDBETWEEN(12,24)/100</f>
        <v>0.17</v>
      </c>
      <c r="B207" s="2" t="s">
        <v>1057</v>
      </c>
      <c r="E207" s="4">
        <f ca="1">RANDBETWEEN(1,4)*5</f>
        <v>5</v>
      </c>
      <c r="F207" s="62" t="s">
        <v>251</v>
      </c>
      <c r="H207" s="4" t="s">
        <v>472</v>
      </c>
    </row>
    <row r="208" spans="1:12" x14ac:dyDescent="0.35">
      <c r="A208" s="233">
        <f ca="1">ROUND((1+RANDBETWEEN(16,25)/100)^(IF(RANDBETWEEN(0,1)=0,1,-1)),3)</f>
        <v>0.83299999999999996</v>
      </c>
      <c r="B208" s="2" t="s">
        <v>2265</v>
      </c>
      <c r="E208" s="233">
        <f ca="1">A208/IF(D206=0,(1+E207/100),(1-E207/100))</f>
        <v>0.87684210526315787</v>
      </c>
      <c r="F208" s="62" t="s">
        <v>2266</v>
      </c>
      <c r="H208" s="4" t="s">
        <v>473</v>
      </c>
    </row>
    <row r="209" spans="1:12" x14ac:dyDescent="0.35">
      <c r="A209" s="20">
        <f ca="1">A206/(1-A207)</f>
        <v>132530.1204819277</v>
      </c>
      <c r="B209" s="2" t="s">
        <v>2023</v>
      </c>
      <c r="E209" s="20">
        <f ca="1">A210/E208</f>
        <v>125903.61445783133</v>
      </c>
      <c r="F209" s="62" t="s">
        <v>2025</v>
      </c>
      <c r="H209" s="4" t="s">
        <v>2024</v>
      </c>
    </row>
    <row r="210" spans="1:12" x14ac:dyDescent="0.35">
      <c r="A210" s="280">
        <f ca="1">A209*A208</f>
        <v>110397.59036144578</v>
      </c>
      <c r="B210" s="2" t="s">
        <v>2026</v>
      </c>
      <c r="E210" s="20">
        <f ca="1">IF(ABS(E209-A206)&lt;1000,"#RECALCULATE",E209-A206)</f>
        <v>15903.614457831325</v>
      </c>
      <c r="F210" s="62" t="s">
        <v>2027</v>
      </c>
      <c r="H210" s="4" t="s">
        <v>1725</v>
      </c>
    </row>
    <row r="211" spans="1:12" x14ac:dyDescent="0.35">
      <c r="E211" s="7">
        <f ca="1">IF(ABS(E210/E209)&lt;0.03,"RECALCULATE",E210/E209)</f>
        <v>0.12631578947368421</v>
      </c>
      <c r="F211" s="62" t="s">
        <v>1058</v>
      </c>
      <c r="H211" s="4" t="s">
        <v>1592</v>
      </c>
      <c r="J211" s="14"/>
    </row>
    <row r="213" spans="1:12" ht="16" thickBot="1" x14ac:dyDescent="0.4">
      <c r="B213" s="88" t="s">
        <v>1612</v>
      </c>
      <c r="F213" s="120" t="s">
        <v>1615</v>
      </c>
      <c r="J213" s="120" t="s">
        <v>1617</v>
      </c>
    </row>
    <row r="214" spans="1:12" ht="16.5" thickTop="1" thickBot="1" x14ac:dyDescent="0.4">
      <c r="B214" s="76" t="str">
        <f ca="1">[1]!std_ans($C$214)</f>
        <v>C</v>
      </c>
      <c r="C214" s="79" t="str">
        <f ca="1" xml:space="preserve"> "/\" &amp;RANDBETWEEN( 1,120) &amp; "/\" &amp;RANDBETWEEN( 1,120) &amp; "/\" &amp;0.1 &amp; "/\" &amp; A210</f>
        <v>/\91/\97/\0.1/\110397.590361446</v>
      </c>
      <c r="D214" s="80" t="s">
        <v>1614</v>
      </c>
      <c r="F214" s="76" t="str">
        <f ca="1">[1]!std_ans($G$214)</f>
        <v>D</v>
      </c>
      <c r="G214" s="79" t="str">
        <f ca="1" xml:space="preserve"> "/\" &amp;RANDBETWEEN( 1,120) &amp; "/\" &amp;RANDBETWEEN( 1,120) &amp; "/\" &amp;0.1 &amp; "/\" &amp; E210</f>
        <v>/\47/\93/\0.1/\15903.6144578313</v>
      </c>
      <c r="H214" s="80" t="s">
        <v>1616</v>
      </c>
      <c r="J214" s="76" t="str">
        <f ca="1">[1]!std_ans($K$214)</f>
        <v>C</v>
      </c>
      <c r="K214" s="79" t="str">
        <f ca="1" xml:space="preserve"> "/\" &amp;RANDBETWEEN( 1,120) &amp; "/\" &amp;RANDBETWEEN( 1,120) &amp; "/\" &amp;0.1 &amp; "/\" &amp; E211</f>
        <v>/\110/\84/\0.1/\0.126315789473684</v>
      </c>
      <c r="L214" s="80" t="s">
        <v>1618</v>
      </c>
    </row>
    <row r="215" spans="1:12" ht="16" thickTop="1" x14ac:dyDescent="0.35">
      <c r="B215" s="383">
        <f ca="1">[1]!stdnum_A($C$214)</f>
        <v>91237.677984666108</v>
      </c>
      <c r="C215" s="82"/>
      <c r="D215" s="77"/>
      <c r="F215" s="110">
        <f ca="1">[1]!stdnum_A($G$214)</f>
        <v>17493.975903614431</v>
      </c>
      <c r="G215" s="82"/>
      <c r="H215" s="77"/>
      <c r="J215" s="92">
        <f ca="1">IF(ABS(E211)&lt;0.03,"RECALCULATE",[1]!stdnum_A($K$214))</f>
        <v>9.4902922219146479E-2</v>
      </c>
      <c r="K215" s="82"/>
      <c r="L215" s="77"/>
    </row>
    <row r="216" spans="1:12" x14ac:dyDescent="0.35">
      <c r="B216" s="383">
        <f ca="1">[1]!stdnum_B($C$214)</f>
        <v>100361.44578313272</v>
      </c>
      <c r="C216" s="82"/>
      <c r="D216" s="77"/>
      <c r="F216" s="110">
        <f ca="1">[1]!stdnum_B($G$214)</f>
        <v>14457.83132530118</v>
      </c>
      <c r="G216" s="82"/>
      <c r="H216" s="77"/>
      <c r="J216" s="92">
        <f ca="1">[1]!stdnum_B($K$214)</f>
        <v>0.1389473684210524</v>
      </c>
      <c r="K216" s="82"/>
      <c r="L216" s="77"/>
    </row>
    <row r="217" spans="1:12" x14ac:dyDescent="0.35">
      <c r="B217" s="383">
        <f ca="1">[1]!stdnum_C($C$214)</f>
        <v>110397.590361446</v>
      </c>
      <c r="C217" s="82"/>
      <c r="D217" s="77"/>
      <c r="F217" s="110">
        <f ca="1">[1]!stdnum_C($G$214)</f>
        <v>11948.620930000972</v>
      </c>
      <c r="G217" s="82"/>
      <c r="H217" s="77"/>
      <c r="J217" s="92">
        <f ca="1">[1]!stdnum_C($K$214)</f>
        <v>0.12631578947368399</v>
      </c>
      <c r="K217" s="82"/>
      <c r="L217" s="77"/>
    </row>
    <row r="218" spans="1:12" x14ac:dyDescent="0.35">
      <c r="B218" s="383">
        <f ca="1">[1]!stdnum_D($C$214)</f>
        <v>75403.039656748835</v>
      </c>
      <c r="C218" s="82"/>
      <c r="D218" s="77"/>
      <c r="F218" s="110">
        <f ca="1">[1]!stdnum_D($G$214)</f>
        <v>15903.6144578313</v>
      </c>
      <c r="G218" s="82"/>
      <c r="H218" s="77"/>
      <c r="J218" s="92">
        <f ca="1">[1]!stdnum_D($K$214)</f>
        <v>0.11483253588516726</v>
      </c>
      <c r="K218" s="82"/>
      <c r="L218" s="77"/>
    </row>
    <row r="219" spans="1:12" ht="16" thickBot="1" x14ac:dyDescent="0.4">
      <c r="B219" s="384">
        <f ca="1">[1]!stdnum_E($C$214)</f>
        <v>82943.343622423708</v>
      </c>
      <c r="C219" s="84"/>
      <c r="D219" s="78"/>
      <c r="F219" s="111">
        <f ca="1">[1]!stdnum_E($G$214)</f>
        <v>13143.483023001072</v>
      </c>
      <c r="G219" s="84"/>
      <c r="H219" s="78"/>
      <c r="J219" s="93">
        <f ca="1">[1]!stdnum_E($K$214)</f>
        <v>0.10439321444106114</v>
      </c>
      <c r="K219" s="84"/>
      <c r="L219" s="78"/>
    </row>
    <row r="220" spans="1:12" ht="16" thickTop="1" x14ac:dyDescent="0.35"/>
    <row r="222" spans="1:12" x14ac:dyDescent="0.35">
      <c r="A222" s="88" t="s">
        <v>1620</v>
      </c>
    </row>
    <row r="223" spans="1:12" x14ac:dyDescent="0.35">
      <c r="A223" s="19">
        <f ca="1">25*RANDBETWEEN(7,14)/10000</f>
        <v>2.5000000000000001E-2</v>
      </c>
      <c r="B223" s="2" t="s">
        <v>2728</v>
      </c>
      <c r="F223" s="8">
        <f ca="1">A223*A224*A225/100</f>
        <v>2609.375</v>
      </c>
      <c r="G223" s="2" t="s">
        <v>3334</v>
      </c>
      <c r="I223" s="6" t="s">
        <v>2691</v>
      </c>
      <c r="J223" s="2" t="str">
        <f ca="1">INDEX(I224:I228,RANDBETWEEN(1,5))</f>
        <v>sucre</v>
      </c>
    </row>
    <row r="224" spans="1:12" x14ac:dyDescent="0.35">
      <c r="A224" s="234">
        <f ca="1">25000*RANDBETWEEN(4,8)</f>
        <v>125000</v>
      </c>
      <c r="B224" s="2" t="s">
        <v>3331</v>
      </c>
      <c r="F224" s="8">
        <f ca="1">A224*(A227-A225)*IF(A228="long",1,-1)/100</f>
        <v>5218.7499999999964</v>
      </c>
      <c r="G224" s="2" t="s">
        <v>3335</v>
      </c>
      <c r="I224" s="4" t="s">
        <v>472</v>
      </c>
    </row>
    <row r="225" spans="1:15" x14ac:dyDescent="0.35">
      <c r="A225" s="115">
        <f ca="1">RANDBETWEEN(700,950)/10</f>
        <v>83.5</v>
      </c>
      <c r="B225" s="2" t="s">
        <v>3332</v>
      </c>
      <c r="F225" s="12">
        <f ca="1">F224/F223</f>
        <v>1.9999999999999987</v>
      </c>
      <c r="G225" s="2" t="s">
        <v>3204</v>
      </c>
      <c r="I225" s="4" t="s">
        <v>473</v>
      </c>
    </row>
    <row r="226" spans="1:15" x14ac:dyDescent="0.35">
      <c r="A226" s="4" t="str">
        <f ca="1">IF(RANDBETWEEN(0,1)=0,"appreciates","depreciates")</f>
        <v>appreciates</v>
      </c>
      <c r="B226" s="2" t="s">
        <v>2745</v>
      </c>
      <c r="C226" s="23">
        <f ca="1">RANDBETWEEN(2,7)/100</f>
        <v>0.05</v>
      </c>
      <c r="I226" s="4" t="s">
        <v>2024</v>
      </c>
    </row>
    <row r="227" spans="1:15" x14ac:dyDescent="0.35">
      <c r="A227" s="115">
        <f ca="1">A225*(1+IF(A226="appreciates",C226,-C226))</f>
        <v>87.674999999999997</v>
      </c>
      <c r="B227" s="2" t="s">
        <v>3333</v>
      </c>
      <c r="I227" s="4" t="s">
        <v>1725</v>
      </c>
    </row>
    <row r="228" spans="1:15" x14ac:dyDescent="0.35">
      <c r="A228" s="4" t="str">
        <f ca="1">IF(RANDBETWEEN(0,1)=0,"long","short")</f>
        <v>long</v>
      </c>
      <c r="B228" s="2" t="s">
        <v>3288</v>
      </c>
      <c r="I228" s="4" t="s">
        <v>1592</v>
      </c>
    </row>
    <row r="230" spans="1:15" ht="16" thickBot="1" x14ac:dyDescent="0.4">
      <c r="B230" s="88" t="s">
        <v>1619</v>
      </c>
      <c r="F230" s="88" t="s">
        <v>204</v>
      </c>
      <c r="J230" s="88" t="s">
        <v>206</v>
      </c>
    </row>
    <row r="231" spans="1:15" ht="16.5" thickTop="1" thickBot="1" x14ac:dyDescent="0.4">
      <c r="B231" s="76" t="str">
        <f ca="1">[1]!std_ans($C$231)</f>
        <v>A</v>
      </c>
      <c r="C231" s="79" t="str">
        <f ca="1" xml:space="preserve"> "/\" &amp;RANDBETWEEN( 1,120) &amp; "/\" &amp;RANDBETWEEN( 1,120) &amp; "/\" &amp;0.1 &amp; "/\" &amp; F224</f>
        <v>/\4/\15/\0.1/\5218.75</v>
      </c>
      <c r="D231" s="80" t="s">
        <v>1621</v>
      </c>
      <c r="F231" s="76" t="str">
        <f ca="1">[1]!std_ans($G$231)</f>
        <v>E</v>
      </c>
      <c r="G231" s="79" t="str">
        <f ca="1" xml:space="preserve"> "/\" &amp;RANDBETWEEN( 1,120) &amp; "/\" &amp;RANDBETWEEN( 1,120) &amp; "/\" &amp;0.1 &amp; "/\" &amp; F225</f>
        <v>/\66/\23/\0.1/\2</v>
      </c>
      <c r="H231" s="80" t="s">
        <v>205</v>
      </c>
      <c r="J231" s="76" t="str">
        <f ca="1">[1]!alpha_ans($K$231)</f>
        <v>C</v>
      </c>
      <c r="K231" s="79" t="str">
        <f ca="1" xml:space="preserve"> "/\" &amp;RANDBETWEEN( 1,5) &amp; "/\" &amp;RANDBETWEEN( 1,120) &amp; "/\" &amp;RANDBETWEEN( 1,6) &amp; "/\" &amp;RANDBETWEEN( 1,2) &amp; "/\" &amp; F224 &amp; "/\" &amp; "Mask" &amp; "/\" &amp; "Mask" &amp; "/\" &amp; F225 &amp; "/\" &amp; "Mask"</f>
        <v>/\3/\119/\6/\1/\5218.75/\Mask/\Mask/\2/\Mask</v>
      </c>
      <c r="L231" s="80" t="s">
        <v>3364</v>
      </c>
    </row>
    <row r="232" spans="1:15" ht="16" thickTop="1" x14ac:dyDescent="0.35">
      <c r="B232" s="110">
        <f ca="1">[1]!stdnum_A($C$231)</f>
        <v>5218.75</v>
      </c>
      <c r="C232" s="82"/>
      <c r="D232" s="77"/>
      <c r="F232" s="145">
        <f ca="1">[1]!stdnum_A($G$231)</f>
        <v>2.6620000000000008</v>
      </c>
      <c r="G232" s="82"/>
      <c r="H232" s="77"/>
      <c r="J232" s="110">
        <f ca="1">[1]!onepair_A($K$231)</f>
        <v>3946.1247637051001</v>
      </c>
      <c r="K232" s="278">
        <f ca="1">[1]!onepair_A2($K$231)</f>
        <v>1.73913043478261</v>
      </c>
      <c r="L232" s="77"/>
    </row>
    <row r="233" spans="1:15" x14ac:dyDescent="0.35">
      <c r="B233" s="110">
        <f ca="1">[1]!stdnum_B($C$231)</f>
        <v>6946.1562500000018</v>
      </c>
      <c r="C233" s="82"/>
      <c r="D233" s="77"/>
      <c r="F233" s="145">
        <f ca="1">[1]!stdnum_B($G$231)</f>
        <v>2.2000000000000002</v>
      </c>
      <c r="G233" s="82"/>
      <c r="H233" s="77"/>
      <c r="J233" s="110">
        <f ca="1">[1]!onepair_B($K$231)</f>
        <v>3946.1247637051001</v>
      </c>
      <c r="K233" s="278">
        <f ca="1">[1]!onepair_B2($K$231)</f>
        <v>2</v>
      </c>
      <c r="L233" s="77"/>
    </row>
    <row r="234" spans="1:15" x14ac:dyDescent="0.35">
      <c r="B234" s="110">
        <f ca="1">[1]!stdnum_C($C$231)</f>
        <v>5740.6250000000009</v>
      </c>
      <c r="C234" s="82"/>
      <c r="D234" s="77"/>
      <c r="F234" s="145">
        <f ca="1">[1]!stdnum_C($G$231)</f>
        <v>2.4200000000000004</v>
      </c>
      <c r="G234" s="82"/>
      <c r="H234" s="77"/>
      <c r="J234" s="110">
        <f ca="1">[1]!onepair_C($K$231)</f>
        <v>5218.75</v>
      </c>
      <c r="K234" s="278">
        <f ca="1">[1]!onepair_C2($K$231)</f>
        <v>2</v>
      </c>
      <c r="L234" s="77"/>
    </row>
    <row r="235" spans="1:15" x14ac:dyDescent="0.35">
      <c r="B235" s="110">
        <f ca="1">[1]!stdnum_D($C$231)</f>
        <v>7640.7718750000022</v>
      </c>
      <c r="C235" s="82"/>
      <c r="D235" s="77"/>
      <c r="F235" s="145">
        <f ca="1">[1]!stdnum_D($G$231)</f>
        <v>2.9282000000000008</v>
      </c>
      <c r="G235" s="82"/>
      <c r="H235" s="77"/>
      <c r="J235" s="110">
        <f ca="1">[1]!onepair_D($K$231)</f>
        <v>5218.75</v>
      </c>
      <c r="K235" s="278">
        <f ca="1">[1]!onepair_D2($K$231)</f>
        <v>1.73913043478261</v>
      </c>
      <c r="L235" s="77"/>
    </row>
    <row r="236" spans="1:15" ht="16" thickBot="1" x14ac:dyDescent="0.4">
      <c r="B236" s="111">
        <f ca="1">[1]!stdnum_E($C$231)</f>
        <v>6314.6875000000009</v>
      </c>
      <c r="C236" s="84"/>
      <c r="D236" s="78"/>
      <c r="F236" s="146">
        <f ca="1">[1]!stdnum_E($G$231)</f>
        <v>2</v>
      </c>
      <c r="G236" s="84"/>
      <c r="H236" s="78"/>
      <c r="J236" s="111">
        <f ca="1">[1]!onepair_E($K$231)</f>
        <v>4538.04347826087</v>
      </c>
      <c r="K236" s="279">
        <f ca="1">[1]!onepair_E2($K$231)</f>
        <v>2</v>
      </c>
      <c r="L236" s="78"/>
    </row>
    <row r="237" spans="1:15" ht="16" thickTop="1" x14ac:dyDescent="0.35"/>
    <row r="239" spans="1:15" x14ac:dyDescent="0.35">
      <c r="A239" s="88" t="s">
        <v>2323</v>
      </c>
    </row>
    <row r="240" spans="1:15" x14ac:dyDescent="0.35">
      <c r="A240" s="281">
        <f ca="1">RANDBETWEEN(700,950)/10</f>
        <v>83.6</v>
      </c>
      <c r="B240" s="2" t="s">
        <v>3582</v>
      </c>
      <c r="D240" s="2">
        <f ca="1">RANDBETWEEN(0,1)</f>
        <v>0</v>
      </c>
      <c r="E240" s="6" t="s">
        <v>2141</v>
      </c>
      <c r="F240" s="2" t="str">
        <f ca="1">IF(D240=1,"receiving from","sending")</f>
        <v>sending</v>
      </c>
      <c r="G240" s="4" t="str">
        <f ca="1">IF(D240=1,"short","long")</f>
        <v>long</v>
      </c>
      <c r="H240" s="4" t="str">
        <f ca="1">IF(D240=1,"sells","buys")</f>
        <v>buys</v>
      </c>
      <c r="I240" s="4" t="str">
        <f ca="1">IF(D240=1,"revenue","cost")</f>
        <v>cost</v>
      </c>
      <c r="J240" s="6" t="s">
        <v>2691</v>
      </c>
      <c r="K240" s="2" t="str">
        <f ca="1">INDEX(J241:J245,RANDBETWEEN(1,5))</f>
        <v>bhat</v>
      </c>
      <c r="L240" s="2" t="s">
        <v>232</v>
      </c>
      <c r="M240" s="6" t="str">
        <f ca="1">IF(E242&gt;0,"saves","costs")</f>
        <v>saves</v>
      </c>
      <c r="N240" s="142">
        <f ca="1">ROUND(ABS(E242),-1)</f>
        <v>10690</v>
      </c>
      <c r="O240" s="2" t="str">
        <f ca="1">G240&amp;" position and it eventually "&amp;M240</f>
        <v>long position and it eventually saves</v>
      </c>
    </row>
    <row r="241" spans="1:15" x14ac:dyDescent="0.35">
      <c r="A241" s="281">
        <f ca="1">A240+(IF(RANDBETWEEN(0,1)=0,1,-1))*RANDBETWEEN(1,6)/10</f>
        <v>83.5</v>
      </c>
      <c r="B241" s="2" t="s">
        <v>2199</v>
      </c>
      <c r="E241" s="282">
        <f ca="1">A242*A243</f>
        <v>128000</v>
      </c>
      <c r="F241" s="2" t="s">
        <v>2142</v>
      </c>
      <c r="J241" s="4" t="s">
        <v>472</v>
      </c>
      <c r="L241" s="2" t="s">
        <v>359</v>
      </c>
      <c r="M241" s="6" t="str">
        <f ca="1">IF(E242&lt;0,"saves","costs")</f>
        <v>costs</v>
      </c>
      <c r="O241" s="2" t="str">
        <f ca="1">IF(G240="short","long","short")&amp;" position and it eventually "&amp;M241</f>
        <v>short position and it eventually costs</v>
      </c>
    </row>
    <row r="242" spans="1:15" x14ac:dyDescent="0.35">
      <c r="A242" s="4">
        <f ca="1">RANDBETWEEN(2,5)</f>
        <v>4</v>
      </c>
      <c r="B242" s="2" t="s">
        <v>3007</v>
      </c>
      <c r="E242" s="8">
        <f ca="1">(A245-A241)*E241*IF(D240=1,-1,1)/100</f>
        <v>10688.000000000011</v>
      </c>
      <c r="F242" s="2" t="s">
        <v>2143</v>
      </c>
      <c r="J242" s="4" t="s">
        <v>473</v>
      </c>
    </row>
    <row r="243" spans="1:15" x14ac:dyDescent="0.35">
      <c r="A243" s="283">
        <f ca="1">RANDBETWEEN(1,6)*8000</f>
        <v>32000</v>
      </c>
      <c r="B243" s="2" t="s">
        <v>2138</v>
      </c>
      <c r="E243" s="8">
        <f ca="1">E241*A244/100</f>
        <v>117708.80000000002</v>
      </c>
      <c r="F243" s="2" t="s">
        <v>1939</v>
      </c>
      <c r="J243" s="4" t="s">
        <v>2024</v>
      </c>
    </row>
    <row r="244" spans="1:15" x14ac:dyDescent="0.35">
      <c r="A244" s="115">
        <f ca="1">A240*(1+IF(E245="appreciated",G245,-G245))</f>
        <v>91.960000000000008</v>
      </c>
      <c r="B244" s="2" t="s">
        <v>2139</v>
      </c>
      <c r="E244" s="24">
        <f ca="1">E243+E242*IF(D240=1,1,-1)</f>
        <v>107020.8</v>
      </c>
      <c r="F244" s="2" t="s">
        <v>2969</v>
      </c>
      <c r="J244" s="4" t="s">
        <v>1725</v>
      </c>
    </row>
    <row r="245" spans="1:15" x14ac:dyDescent="0.35">
      <c r="A245" s="115">
        <f ca="1">A241*(1+IF(E245="appreciated",G245,-G245))</f>
        <v>91.850000000000009</v>
      </c>
      <c r="B245" s="2" t="s">
        <v>2140</v>
      </c>
      <c r="E245" s="4" t="str">
        <f ca="1">IF(RANDBETWEEN(0,1)=0,"appreciated","depreciated")</f>
        <v>appreciated</v>
      </c>
      <c r="F245" s="4" t="s">
        <v>2745</v>
      </c>
      <c r="G245" s="23">
        <f ca="1">RANDBETWEEN(2,15)/100</f>
        <v>0.1</v>
      </c>
      <c r="J245" s="4" t="s">
        <v>1592</v>
      </c>
    </row>
    <row r="247" spans="1:15" ht="16" thickBot="1" x14ac:dyDescent="0.4">
      <c r="B247" s="88" t="s">
        <v>2322</v>
      </c>
      <c r="F247" s="120" t="s">
        <v>2325</v>
      </c>
    </row>
    <row r="248" spans="1:15" ht="16.5" thickTop="1" thickBot="1" x14ac:dyDescent="0.4">
      <c r="B248" s="76" t="str">
        <f ca="1">[1]!std_ans($C$248)</f>
        <v>D</v>
      </c>
      <c r="C248" s="79" t="str">
        <f ca="1" xml:space="preserve"> "/\" &amp;RANDBETWEEN( 1,120) &amp; "/\" &amp;RANDBETWEEN( 1,120) &amp; "/\" &amp;0.1 &amp; "/\" &amp; E244</f>
        <v>/\41/\2/\0.1/\107020.8</v>
      </c>
      <c r="D248" s="80" t="s">
        <v>2324</v>
      </c>
      <c r="F248" s="76" t="str">
        <f ca="1">[1]!alpha_ans($G$248)</f>
        <v>B</v>
      </c>
      <c r="G248" s="79" t="str">
        <f ca="1" xml:space="preserve"> "/\" &amp;RANDBETWEEN( 1,5) &amp; "/\" &amp;RANDBETWEEN( 1,120) &amp; "/\" &amp;RANDBETWEEN( 1,6) &amp; "/\" &amp;RANDBETWEEN( 1,2) &amp; "/\" &amp; N240 &amp; "/\" &amp; "Mask" &amp; "/\" &amp; "Mask" &amp; "/\" &amp; O240 &amp; "/\" &amp; O241</f>
        <v>/\2/\90/\2/\1/\10690/\Mask/\Mask/\long position and it eventually saves/\short position and it eventually costs</v>
      </c>
      <c r="H248" s="80" t="s">
        <v>2326</v>
      </c>
    </row>
    <row r="249" spans="1:15" ht="16" thickTop="1" x14ac:dyDescent="0.35">
      <c r="B249" s="110">
        <f ca="1">[1]!stdnum_A($C$248)</f>
        <v>117722.88000000002</v>
      </c>
      <c r="C249" s="82"/>
      <c r="D249" s="77"/>
      <c r="F249" s="110">
        <f ca="1">[1]!onepair_A($G$248)</f>
        <v>12293.5</v>
      </c>
      <c r="G249" s="82" t="str">
        <f ca="1">[1]!onepair_A2($G$248)</f>
        <v>long position and it eventually saves</v>
      </c>
      <c r="H249" s="77"/>
    </row>
    <row r="250" spans="1:15" x14ac:dyDescent="0.35">
      <c r="B250" s="110">
        <f ca="1">[1]!stdnum_B($C$248)</f>
        <v>156689.15328000006</v>
      </c>
      <c r="C250" s="82"/>
      <c r="D250" s="77"/>
      <c r="F250" s="110">
        <f ca="1">[1]!onepair_B($G$248)</f>
        <v>10690</v>
      </c>
      <c r="G250" s="82" t="str">
        <f ca="1">[1]!onepair_B2($G$248)</f>
        <v>long position and it eventually saves</v>
      </c>
      <c r="H250" s="77"/>
    </row>
    <row r="251" spans="1:15" x14ac:dyDescent="0.35">
      <c r="B251" s="110">
        <f ca="1">[1]!stdnum_C($C$248)</f>
        <v>142444.68480000005</v>
      </c>
      <c r="C251" s="82"/>
      <c r="D251" s="77"/>
      <c r="F251" s="110">
        <f ca="1">[1]!onepair_C($G$248)</f>
        <v>12293.5</v>
      </c>
      <c r="G251" s="82" t="str">
        <f ca="1">[1]!onepair_C2($G$248)</f>
        <v>short position and it eventually costs</v>
      </c>
      <c r="H251" s="77"/>
    </row>
    <row r="252" spans="1:15" x14ac:dyDescent="0.35">
      <c r="B252" s="110">
        <f ca="1">[1]!stdnum_D($C$248)</f>
        <v>107020.8</v>
      </c>
      <c r="C252" s="82"/>
      <c r="D252" s="77"/>
      <c r="F252" s="110">
        <f ca="1">[1]!onepair_D($G$248)</f>
        <v>14137.525</v>
      </c>
      <c r="G252" s="82" t="str">
        <f ca="1">[1]!onepair_D2($G$248)</f>
        <v>long position and it eventually saves</v>
      </c>
      <c r="H252" s="77"/>
    </row>
    <row r="253" spans="1:15" ht="16" thickBot="1" x14ac:dyDescent="0.4">
      <c r="B253" s="111">
        <f ca="1">[1]!stdnum_E($C$248)</f>
        <v>129495.16800000002</v>
      </c>
      <c r="C253" s="84"/>
      <c r="D253" s="78"/>
      <c r="F253" s="111">
        <f ca="1">[1]!onepair_E($G$248)</f>
        <v>10690</v>
      </c>
      <c r="G253" s="84" t="str">
        <f ca="1">[1]!onepair_E2($G$248)</f>
        <v>short position and it eventually costs</v>
      </c>
      <c r="H253" s="78"/>
    </row>
    <row r="254" spans="1:15" ht="16" thickTop="1" x14ac:dyDescent="0.35"/>
    <row r="256" spans="1:15" x14ac:dyDescent="0.35">
      <c r="A256" s="88" t="s">
        <v>1982</v>
      </c>
    </row>
    <row r="257" spans="1:13" x14ac:dyDescent="0.35">
      <c r="A257" s="13">
        <f ca="1">RANDBETWEEN(30,40)/10</f>
        <v>3.4</v>
      </c>
      <c r="B257" s="2" t="s">
        <v>3582</v>
      </c>
      <c r="D257" s="2">
        <f ca="1">RANDBETWEEN(0,1)</f>
        <v>0</v>
      </c>
      <c r="E257" s="6" t="s">
        <v>2141</v>
      </c>
      <c r="F257" s="2" t="str">
        <f ca="1">IF(D257=1,"harvesting","buying")</f>
        <v>buying</v>
      </c>
      <c r="G257" s="2" t="str">
        <f ca="1">IF(D257=1,"short","long")</f>
        <v>long</v>
      </c>
      <c r="H257" s="2" t="str">
        <f ca="1">IF(D257=1,"delivers","buys")</f>
        <v>buys</v>
      </c>
      <c r="I257" s="2" t="str">
        <f ca="1">IF(D257=1,"revenue","cost")</f>
        <v>cost</v>
      </c>
      <c r="J257" s="2" t="s">
        <v>232</v>
      </c>
      <c r="K257" s="6" t="str">
        <f ca="1">IF(E259&gt;0,"saves","costs")</f>
        <v>costs</v>
      </c>
      <c r="L257" s="142">
        <f ca="1">ROUND(ABS(E259),-1)</f>
        <v>8800</v>
      </c>
      <c r="M257" s="2" t="str">
        <f ca="1">G257&amp;" position and it eventually "&amp;K257</f>
        <v>long position and it eventually costs</v>
      </c>
    </row>
    <row r="258" spans="1:13" x14ac:dyDescent="0.35">
      <c r="A258" s="13">
        <f ca="1">A257+C258*RANDBETWEEN(1,3)/10</f>
        <v>3.1999999999999997</v>
      </c>
      <c r="B258" s="2" t="s">
        <v>2199</v>
      </c>
      <c r="C258" s="2">
        <f ca="1">(IF(RANDBETWEEN(0,1)=0,1,-1))</f>
        <v>-1</v>
      </c>
      <c r="E258" s="282">
        <f ca="1">A259*A260</f>
        <v>8000</v>
      </c>
      <c r="F258" s="2" t="s">
        <v>2142</v>
      </c>
      <c r="J258" s="2" t="s">
        <v>359</v>
      </c>
      <c r="K258" s="6" t="str">
        <f ca="1">IF(E259&lt;0,"saves","costs")</f>
        <v>saves</v>
      </c>
      <c r="M258" s="2" t="str">
        <f ca="1">IF(G257="short","long","short")&amp;" position and it eventually "&amp;K258</f>
        <v>short position and it eventually saves</v>
      </c>
    </row>
    <row r="259" spans="1:13" x14ac:dyDescent="0.35">
      <c r="A259" s="2">
        <f ca="1">RANDBETWEEN(2,5)</f>
        <v>2</v>
      </c>
      <c r="B259" s="2" t="s">
        <v>3007</v>
      </c>
      <c r="E259" s="8">
        <f ca="1">(A262-A258)*E258*IF(D257=1,-1,1)</f>
        <v>-8799.9999999999964</v>
      </c>
      <c r="F259" s="2" t="s">
        <v>2143</v>
      </c>
    </row>
    <row r="260" spans="1:13" x14ac:dyDescent="0.35">
      <c r="A260" s="282">
        <f ca="1">RANDBETWEEN(1,6)*2000</f>
        <v>4000</v>
      </c>
      <c r="B260" s="2" t="s">
        <v>2138</v>
      </c>
      <c r="E260" s="8">
        <f ca="1">E258*A261</f>
        <v>19200</v>
      </c>
      <c r="F260" s="2" t="s">
        <v>1939</v>
      </c>
    </row>
    <row r="261" spans="1:13" x14ac:dyDescent="0.35">
      <c r="A261" s="13">
        <f ca="1">A257+C258*RANDBETWEEN(10,14)/10</f>
        <v>2.4</v>
      </c>
      <c r="B261" s="2" t="s">
        <v>2139</v>
      </c>
      <c r="E261" s="8">
        <f ca="1">E260+E259*IF(D257=1,1,-1)</f>
        <v>27999.999999999996</v>
      </c>
      <c r="F261" s="2" t="s">
        <v>1455</v>
      </c>
    </row>
    <row r="262" spans="1:13" x14ac:dyDescent="0.35">
      <c r="A262" s="13">
        <f ca="1">A261+C258*RANDBETWEEN(1,3)/10</f>
        <v>2.1</v>
      </c>
      <c r="B262" s="2" t="s">
        <v>2140</v>
      </c>
    </row>
    <row r="264" spans="1:13" ht="16" thickBot="1" x14ac:dyDescent="0.4">
      <c r="B264" s="120" t="s">
        <v>1981</v>
      </c>
      <c r="F264" s="120" t="s">
        <v>1984</v>
      </c>
    </row>
    <row r="265" spans="1:13" ht="16.5" thickTop="1" thickBot="1" x14ac:dyDescent="0.4">
      <c r="B265" s="76" t="str">
        <f ca="1">[1]!std_ans($C$265)</f>
        <v>B</v>
      </c>
      <c r="C265" s="79" t="str">
        <f ca="1" xml:space="preserve"> "/\" &amp;RANDBETWEEN( 1,120) &amp; "/\" &amp;RANDBETWEEN( 1,120) &amp; "/\" &amp;0.1 &amp; "/\" &amp; E261</f>
        <v>/\30/\88/\0.1/\28000</v>
      </c>
      <c r="D265" s="80" t="s">
        <v>1983</v>
      </c>
      <c r="F265" s="76" t="str">
        <f ca="1">[1]!alpha_ans($G$265)</f>
        <v>E</v>
      </c>
      <c r="G265" s="79" t="str">
        <f ca="1" xml:space="preserve"> "/\" &amp;RANDBETWEEN( 1,5) &amp; "/\" &amp;RANDBETWEEN( 1,120) &amp; "/\" &amp;RANDBETWEEN( 1,6) &amp; "/\" &amp;RANDBETWEEN( 1,2) &amp; "/\" &amp; L257 &amp; "/\" &amp; "Mask" &amp; "/\" &amp; "Mask" &amp; "/\" &amp; M257 &amp; "/\" &amp; M258</f>
        <v>/\5/\70/\5/\2/\8800/\Mask/\Mask/\long position and it eventually costs/\short position and it eventually saves</v>
      </c>
      <c r="H265" s="80" t="s">
        <v>1985</v>
      </c>
    </row>
    <row r="266" spans="1:13" ht="16" thickTop="1" x14ac:dyDescent="0.35">
      <c r="B266" s="110">
        <f ca="1">[1]!stdnum_A($C$265)</f>
        <v>25454.545454545452</v>
      </c>
      <c r="C266" s="82"/>
      <c r="D266" s="77"/>
      <c r="F266" s="110">
        <f ca="1">[1]!onepair_A($G$265)</f>
        <v>6654.06427221172</v>
      </c>
      <c r="G266" s="82" t="str">
        <f ca="1">[1]!onepair_A2($G$265)</f>
        <v>short position and it eventually saves</v>
      </c>
      <c r="H266" s="77"/>
    </row>
    <row r="267" spans="1:13" x14ac:dyDescent="0.35">
      <c r="B267" s="110">
        <f ca="1">[1]!stdnum_B($C$265)</f>
        <v>28000</v>
      </c>
      <c r="C267" s="82"/>
      <c r="D267" s="77"/>
      <c r="F267" s="110">
        <f ca="1">[1]!onepair_B($G$265)</f>
        <v>7652.1739130434798</v>
      </c>
      <c r="G267" s="82" t="str">
        <f ca="1">[1]!onepair_B2($G$265)</f>
        <v>short position and it eventually saves</v>
      </c>
      <c r="H267" s="77"/>
    </row>
    <row r="268" spans="1:13" x14ac:dyDescent="0.35">
      <c r="B268" s="110">
        <f ca="1">[1]!stdnum_C($C$265)</f>
        <v>21036.814425244171</v>
      </c>
      <c r="C268" s="82"/>
      <c r="D268" s="77"/>
      <c r="F268" s="110">
        <f ca="1">[1]!onepair_C($G$265)</f>
        <v>6654.06427221172</v>
      </c>
      <c r="G268" s="82" t="str">
        <f ca="1">[1]!onepair_C2($G$265)</f>
        <v>long position and it eventually costs</v>
      </c>
      <c r="H268" s="77"/>
    </row>
    <row r="269" spans="1:13" x14ac:dyDescent="0.35">
      <c r="B269" s="110">
        <f ca="1">[1]!stdnum_D($C$265)</f>
        <v>30800.000000000004</v>
      </c>
      <c r="C269" s="82"/>
      <c r="D269" s="77"/>
      <c r="F269" s="110">
        <f ca="1">[1]!onepair_D($G$265)</f>
        <v>7652.1739130434798</v>
      </c>
      <c r="G269" s="82" t="str">
        <f ca="1">[1]!onepair_D2($G$265)</f>
        <v>long position and it eventually costs</v>
      </c>
      <c r="H269" s="77"/>
    </row>
    <row r="270" spans="1:13" ht="16" thickBot="1" x14ac:dyDescent="0.4">
      <c r="B270" s="111">
        <f ca="1">[1]!stdnum_E($C$265)</f>
        <v>23140.495867768594</v>
      </c>
      <c r="C270" s="84"/>
      <c r="D270" s="78"/>
      <c r="F270" s="111">
        <f ca="1">[1]!onepair_E($G$265)</f>
        <v>8800</v>
      </c>
      <c r="G270" s="84" t="str">
        <f ca="1">[1]!onepair_E2($G$265)</f>
        <v>long position and it eventually costs</v>
      </c>
      <c r="H270" s="78"/>
    </row>
    <row r="271" spans="1:13" ht="16" thickTop="1" x14ac:dyDescent="0.35"/>
    <row r="273" spans="1:22" x14ac:dyDescent="0.35">
      <c r="A273" s="88" t="s">
        <v>3338</v>
      </c>
    </row>
    <row r="274" spans="1:22" x14ac:dyDescent="0.35">
      <c r="D274" s="287" t="s">
        <v>566</v>
      </c>
      <c r="H274" s="287" t="s">
        <v>3089</v>
      </c>
      <c r="L274" s="287" t="s">
        <v>1453</v>
      </c>
      <c r="P274" s="287" t="s">
        <v>1454</v>
      </c>
      <c r="S274" s="4"/>
      <c r="T274" s="288"/>
      <c r="U274" s="284"/>
      <c r="V274" s="285"/>
    </row>
    <row r="275" spans="1:22" x14ac:dyDescent="0.35">
      <c r="A275" s="22" t="s">
        <v>652</v>
      </c>
      <c r="D275" s="27">
        <f ca="1">A277+A276</f>
        <v>81.7</v>
      </c>
      <c r="E275" s="2" t="s">
        <v>565</v>
      </c>
      <c r="F275" s="13"/>
      <c r="H275" s="27">
        <f ca="1">A277+A276</f>
        <v>81.7</v>
      </c>
      <c r="I275" s="2" t="s">
        <v>565</v>
      </c>
      <c r="L275" s="27">
        <f ca="1">A277-A276</f>
        <v>68.3</v>
      </c>
      <c r="M275" s="2" t="s">
        <v>565</v>
      </c>
      <c r="P275" s="27">
        <f ca="1">A277-A276</f>
        <v>68.3</v>
      </c>
      <c r="Q275" s="2" t="s">
        <v>565</v>
      </c>
      <c r="T275" s="388">
        <f ca="1">RANDBETWEEN(0,1)</f>
        <v>1</v>
      </c>
      <c r="U275" s="284"/>
      <c r="V275" s="288"/>
    </row>
    <row r="276" spans="1:22" x14ac:dyDescent="0.35">
      <c r="A276" s="26">
        <f ca="1">RANDBETWEEN(15,80)/10</f>
        <v>6.7</v>
      </c>
      <c r="B276" s="2" t="s">
        <v>1882</v>
      </c>
      <c r="D276" s="27">
        <f ca="1">A276+0.05</f>
        <v>6.75</v>
      </c>
      <c r="E276" s="2" t="s">
        <v>2809</v>
      </c>
      <c r="F276" s="13"/>
      <c r="H276" s="27">
        <f ca="1">A276+H278</f>
        <v>14.5</v>
      </c>
      <c r="I276" s="2" t="s">
        <v>653</v>
      </c>
      <c r="L276" s="27">
        <f ca="1">A276+0.05</f>
        <v>6.75</v>
      </c>
      <c r="M276" s="2" t="s">
        <v>2809</v>
      </c>
      <c r="P276" s="27">
        <f ca="1">A276+P278</f>
        <v>11.8</v>
      </c>
      <c r="Q276" s="2" t="s">
        <v>653</v>
      </c>
      <c r="T276" s="288">
        <f ca="1">IF(T275=0,D275,L275)</f>
        <v>68.3</v>
      </c>
      <c r="U276" s="285" t="str">
        <f ca="1">IF(T275=0,"call","put")</f>
        <v>put</v>
      </c>
      <c r="V276" s="288">
        <f ca="1">IF(T275=0,D277,L277)</f>
        <v>5.8189655172413799</v>
      </c>
    </row>
    <row r="277" spans="1:22" x14ac:dyDescent="0.35">
      <c r="A277" s="95">
        <f ca="1">RANDBETWEEN(6,16)*5</f>
        <v>75</v>
      </c>
      <c r="B277" s="2" t="s">
        <v>3264</v>
      </c>
      <c r="D277" s="27">
        <f ca="1">D276*MIN(vMask15,1/vMask15)</f>
        <v>5.8189655172413799</v>
      </c>
      <c r="E277" s="2" t="s">
        <v>564</v>
      </c>
      <c r="H277" s="27">
        <f ca="1">H276*MIN(vMask15,1/vMask15)</f>
        <v>12.5</v>
      </c>
      <c r="I277" s="2" t="s">
        <v>564</v>
      </c>
      <c r="L277" s="27">
        <f ca="1">L276*MIN(vMask15,1/vMask15)</f>
        <v>5.8189655172413799</v>
      </c>
      <c r="M277" s="2" t="s">
        <v>564</v>
      </c>
      <c r="P277" s="27">
        <f ca="1">P276*MIN(vMask15,1/vMask15)</f>
        <v>10.17241379310345</v>
      </c>
      <c r="Q277" s="2" t="s">
        <v>564</v>
      </c>
      <c r="T277" s="288">
        <f ca="1">IF(T275=0,H275,P275)</f>
        <v>68.3</v>
      </c>
      <c r="U277" s="285" t="str">
        <f ca="1">IF(U276="call","put","call")</f>
        <v>call</v>
      </c>
      <c r="V277" s="288">
        <f ca="1">IF(T275=0,H277,P277)</f>
        <v>10.17241379310345</v>
      </c>
    </row>
    <row r="278" spans="1:22" x14ac:dyDescent="0.35">
      <c r="A278" s="181"/>
      <c r="F278" s="13"/>
      <c r="H278" s="286">
        <f ca="1">RANDBETWEEN(9,80)/10</f>
        <v>7.8</v>
      </c>
      <c r="I278" s="2" t="s">
        <v>1593</v>
      </c>
      <c r="P278" s="286">
        <f ca="1">RANDBETWEEN(9,80)/10</f>
        <v>5.0999999999999996</v>
      </c>
      <c r="Q278" s="2" t="s">
        <v>1593</v>
      </c>
      <c r="T278" s="288">
        <f ca="1">IF(T275=0,H278,P278)</f>
        <v>5.0999999999999996</v>
      </c>
      <c r="U278" s="284"/>
      <c r="V278" s="285"/>
    </row>
    <row r="280" spans="1:22" ht="16" thickBot="1" x14ac:dyDescent="0.4">
      <c r="B280" s="88" t="s">
        <v>3055</v>
      </c>
      <c r="F280"/>
      <c r="G280"/>
      <c r="H280"/>
      <c r="I280"/>
      <c r="J280"/>
      <c r="K280"/>
      <c r="L280"/>
      <c r="M280"/>
      <c r="N280"/>
      <c r="O280"/>
      <c r="P280"/>
    </row>
    <row r="281" spans="1:22" ht="16.5" thickTop="1" thickBot="1" x14ac:dyDescent="0.4">
      <c r="B281" s="76" t="str">
        <f ca="1">[1]!alpha_ans($C$281)</f>
        <v>A</v>
      </c>
      <c r="C281" s="79" t="str">
        <f ca="1" xml:space="preserve"> "/\" &amp;RANDBETWEEN( 1,5) &amp; "/\" &amp;RANDBETWEEN( 1,120) &amp; "/\" &amp;RANDBETWEEN( 1,6) &amp; "/\" &amp;RANDBETWEEN( 1,2) &amp; "/\" &amp; V276 &amp; "/\" &amp; V276*1.1 &amp; "/\" &amp; V276*1.21 &amp; "/\" &amp; U276 &amp; "/\" &amp; U277</f>
        <v>/\1/\93/\1/\1/\5.81896551724138/\6.40086206896552/\7.04094827586207/\put/\call</v>
      </c>
      <c r="D281" s="80" t="s">
        <v>1773</v>
      </c>
      <c r="F281"/>
      <c r="G281"/>
      <c r="H281"/>
      <c r="I281"/>
      <c r="J281"/>
      <c r="K281"/>
      <c r="L281"/>
      <c r="M281"/>
      <c r="N281"/>
      <c r="O281"/>
      <c r="P281"/>
    </row>
    <row r="282" spans="1:22" ht="16" thickTop="1" x14ac:dyDescent="0.35">
      <c r="B282" s="129">
        <f ca="1">ROUND([1]!onepair_A($C$281),2)</f>
        <v>5.82</v>
      </c>
      <c r="C282" s="82" t="str">
        <f ca="1">[1]!onepair_A2($C$281)</f>
        <v>put</v>
      </c>
      <c r="D282" s="77"/>
      <c r="F282"/>
      <c r="G282"/>
      <c r="H282"/>
      <c r="I282"/>
      <c r="J282"/>
      <c r="K282"/>
      <c r="L282"/>
      <c r="M282"/>
      <c r="N282"/>
      <c r="O282"/>
      <c r="P282"/>
    </row>
    <row r="283" spans="1:22" x14ac:dyDescent="0.35">
      <c r="B283" s="129">
        <f ca="1">ROUND([1]!onepair_B($C$281),2)</f>
        <v>7.04</v>
      </c>
      <c r="C283" s="82" t="str">
        <f ca="1">[1]!onepair_B2($C$281)</f>
        <v>call</v>
      </c>
      <c r="D283" s="77"/>
      <c r="F283"/>
      <c r="G283"/>
      <c r="H283"/>
      <c r="I283"/>
      <c r="J283"/>
      <c r="K283"/>
      <c r="L283"/>
      <c r="M283"/>
      <c r="N283"/>
      <c r="O283"/>
      <c r="P283"/>
    </row>
    <row r="284" spans="1:22" x14ac:dyDescent="0.35">
      <c r="B284" s="129">
        <f ca="1">ROUND([1]!onepair_C($C$281),2)</f>
        <v>6.4</v>
      </c>
      <c r="C284" s="82" t="str">
        <f ca="1">[1]!onepair_C2($C$281)</f>
        <v>put</v>
      </c>
      <c r="D284" s="77"/>
      <c r="F284"/>
      <c r="G284"/>
      <c r="H284"/>
      <c r="I284"/>
      <c r="J284"/>
      <c r="K284"/>
      <c r="L284"/>
      <c r="M284"/>
      <c r="N284"/>
      <c r="O284"/>
      <c r="P284"/>
    </row>
    <row r="285" spans="1:22" x14ac:dyDescent="0.35">
      <c r="B285" s="129">
        <f ca="1">ROUND([1]!onepair_D($C$281),2)</f>
        <v>5.82</v>
      </c>
      <c r="C285" s="82" t="str">
        <f ca="1">[1]!onepair_D2($C$281)</f>
        <v>call</v>
      </c>
      <c r="D285" s="77"/>
      <c r="F285"/>
      <c r="G285"/>
      <c r="H285"/>
      <c r="I285"/>
      <c r="J285"/>
      <c r="K285"/>
      <c r="L285"/>
      <c r="M285"/>
      <c r="N285"/>
      <c r="O285"/>
      <c r="P285"/>
    </row>
    <row r="286" spans="1:22" ht="16" thickBot="1" x14ac:dyDescent="0.4">
      <c r="B286" s="130">
        <f ca="1">ROUND([1]!onepair_E($C$281),2)</f>
        <v>6.4</v>
      </c>
      <c r="C286" s="84" t="str">
        <f ca="1">[1]!onepair_E2($C$281)</f>
        <v>call</v>
      </c>
      <c r="D286" s="78"/>
      <c r="F286"/>
      <c r="G286"/>
      <c r="H286"/>
      <c r="I286"/>
      <c r="J286"/>
      <c r="K286"/>
      <c r="L286"/>
      <c r="M286"/>
      <c r="N286"/>
      <c r="O286"/>
      <c r="P286"/>
    </row>
    <row r="287" spans="1:22" ht="16" thickTop="1" x14ac:dyDescent="0.35">
      <c r="F287"/>
      <c r="G287"/>
      <c r="H287"/>
      <c r="I287"/>
      <c r="J287"/>
      <c r="K287"/>
      <c r="L287"/>
      <c r="M287"/>
      <c r="N287"/>
      <c r="O287"/>
      <c r="P287"/>
    </row>
    <row r="288" spans="1:22" ht="16" thickBot="1" x14ac:dyDescent="0.4">
      <c r="B288" s="120" t="s">
        <v>3056</v>
      </c>
      <c r="F288"/>
      <c r="G288"/>
      <c r="H288"/>
      <c r="I288"/>
      <c r="J288"/>
      <c r="K288"/>
      <c r="L288"/>
      <c r="M288"/>
      <c r="N288"/>
      <c r="O288"/>
      <c r="P288"/>
    </row>
    <row r="289" spans="1:16" ht="16.5" thickTop="1" thickBot="1" x14ac:dyDescent="0.4">
      <c r="B289" s="76" t="str">
        <f ca="1">[1]!alpha_ans($C$289)</f>
        <v>C</v>
      </c>
      <c r="C289" s="79" t="str">
        <f ca="1" xml:space="preserve"> "/\" &amp;RANDBETWEEN( 1,5) &amp; "/\" &amp;RANDBETWEEN( 1,120) &amp; "/\" &amp;RANDBETWEEN( 1,6) &amp; "/\" &amp;RANDBETWEEN( 1,2) &amp; "/\" &amp; V277 &amp; "/\" &amp; V277*1.1 &amp; "/\" &amp; V277*1.21 &amp; "/\" &amp; U276 &amp; "/\" &amp; U277</f>
        <v>/\3/\99/\4/\1/\10.1724137931035/\11.1896551724138/\12.3086206896552/\put/\call</v>
      </c>
      <c r="D289" s="80" t="s">
        <v>2808</v>
      </c>
      <c r="F289"/>
      <c r="G289"/>
      <c r="H289"/>
      <c r="I289"/>
      <c r="J289"/>
      <c r="K289"/>
      <c r="L289"/>
      <c r="M289"/>
      <c r="N289"/>
      <c r="O289"/>
      <c r="P289"/>
    </row>
    <row r="290" spans="1:16" ht="16" thickTop="1" x14ac:dyDescent="0.35">
      <c r="B290" s="129">
        <f ca="1">ROUND([1]!onepair_A($C$289),2)</f>
        <v>12.31</v>
      </c>
      <c r="C290" s="82" t="str">
        <f ca="1">[1]!onepair_A2($C$289)</f>
        <v>call</v>
      </c>
      <c r="D290" s="77"/>
      <c r="F290"/>
      <c r="G290"/>
      <c r="H290"/>
      <c r="I290"/>
      <c r="J290"/>
      <c r="K290"/>
      <c r="L290"/>
      <c r="M290"/>
      <c r="N290"/>
      <c r="O290"/>
      <c r="P290"/>
    </row>
    <row r="291" spans="1:16" x14ac:dyDescent="0.35">
      <c r="B291" s="129">
        <f ca="1">ROUND([1]!onepair_B($C$289),2)</f>
        <v>10.17</v>
      </c>
      <c r="C291" s="82" t="str">
        <f ca="1">[1]!onepair_B2($C$289)</f>
        <v>call</v>
      </c>
      <c r="D291" s="77"/>
      <c r="F291"/>
      <c r="G291"/>
      <c r="H291"/>
      <c r="I291"/>
      <c r="J291"/>
      <c r="K291"/>
      <c r="L291"/>
      <c r="M291"/>
      <c r="N291"/>
      <c r="O291"/>
      <c r="P291"/>
    </row>
    <row r="292" spans="1:16" x14ac:dyDescent="0.35">
      <c r="B292" s="129">
        <f ca="1">ROUND([1]!onepair_C($C$289),2)</f>
        <v>10.17</v>
      </c>
      <c r="C292" s="82" t="str">
        <f ca="1">[1]!onepair_C2($C$289)</f>
        <v>put</v>
      </c>
      <c r="D292" s="77"/>
      <c r="F292"/>
      <c r="G292"/>
      <c r="H292"/>
      <c r="I292"/>
      <c r="J292"/>
      <c r="K292"/>
      <c r="L292"/>
      <c r="M292"/>
      <c r="N292"/>
      <c r="O292"/>
      <c r="P292"/>
    </row>
    <row r="293" spans="1:16" x14ac:dyDescent="0.35">
      <c r="B293" s="129">
        <f ca="1">ROUND([1]!onepair_D($C$289),2)</f>
        <v>11.19</v>
      </c>
      <c r="C293" s="82" t="str">
        <f ca="1">[1]!onepair_D2($C$289)</f>
        <v>put</v>
      </c>
      <c r="D293" s="77"/>
      <c r="F293"/>
      <c r="G293"/>
      <c r="H293"/>
      <c r="I293"/>
      <c r="J293"/>
      <c r="K293"/>
      <c r="L293"/>
      <c r="M293"/>
      <c r="N293"/>
      <c r="O293"/>
      <c r="P293"/>
    </row>
    <row r="294" spans="1:16" ht="16" thickBot="1" x14ac:dyDescent="0.4">
      <c r="B294" s="130">
        <f ca="1">ROUND([1]!onepair_E($C$289),2)</f>
        <v>12.31</v>
      </c>
      <c r="C294" s="84" t="str">
        <f ca="1">[1]!onepair_E2($C$289)</f>
        <v>put</v>
      </c>
      <c r="D294" s="78"/>
      <c r="F294"/>
      <c r="G294"/>
      <c r="H294"/>
      <c r="I294"/>
      <c r="J294"/>
      <c r="K294"/>
      <c r="L294"/>
      <c r="M294"/>
      <c r="N294"/>
      <c r="O294"/>
      <c r="P294"/>
    </row>
    <row r="295" spans="1:16" ht="16" thickTop="1" x14ac:dyDescent="0.35"/>
    <row r="297" spans="1:16" x14ac:dyDescent="0.35">
      <c r="A297" s="88" t="s">
        <v>3585</v>
      </c>
    </row>
    <row r="298" spans="1:16" x14ac:dyDescent="0.35">
      <c r="D298" s="407" t="s">
        <v>489</v>
      </c>
      <c r="E298" s="407"/>
      <c r="H298" s="407" t="s">
        <v>1947</v>
      </c>
      <c r="I298" s="407"/>
      <c r="K298" s="2">
        <f ca="1">RANDBETWEEN(0,1)</f>
        <v>0</v>
      </c>
      <c r="L298" s="4" t="str">
        <f ca="1">IF(K298=0,"call","put")</f>
        <v>call</v>
      </c>
      <c r="M298" s="2" t="s">
        <v>941</v>
      </c>
    </row>
    <row r="299" spans="1:16" x14ac:dyDescent="0.35">
      <c r="A299" s="22" t="s">
        <v>652</v>
      </c>
      <c r="D299" s="27">
        <f ca="1">A301+C300</f>
        <v>75.099999999999994</v>
      </c>
      <c r="E299" s="2" t="s">
        <v>265</v>
      </c>
      <c r="H299" s="27">
        <f ca="1">A301-C300</f>
        <v>74.900000000000006</v>
      </c>
      <c r="I299" s="2" t="s">
        <v>265</v>
      </c>
      <c r="L299" s="26">
        <f ca="1">IF(K298=0,D299,H299)</f>
        <v>75.099999999999994</v>
      </c>
      <c r="M299" s="2" t="s">
        <v>265</v>
      </c>
    </row>
    <row r="300" spans="1:16" x14ac:dyDescent="0.35">
      <c r="A300" s="26">
        <f ca="1">MAX(0,C300)</f>
        <v>0.1</v>
      </c>
      <c r="B300" s="2" t="s">
        <v>1882</v>
      </c>
      <c r="C300" s="26">
        <f ca="1">RANDBETWEEN(-10,25)/10</f>
        <v>0.1</v>
      </c>
      <c r="D300" s="27">
        <f ca="1">RANDBETWEEN(8,80)/10</f>
        <v>1.3</v>
      </c>
      <c r="E300" s="2" t="s">
        <v>1593</v>
      </c>
      <c r="H300" s="27">
        <f ca="1">RANDBETWEEN(8,80)/10</f>
        <v>1.6</v>
      </c>
      <c r="I300" s="2" t="s">
        <v>1593</v>
      </c>
      <c r="L300" s="26">
        <f ca="1">IF(K298=0,D300,H300)</f>
        <v>1.3</v>
      </c>
      <c r="M300" s="2" t="s">
        <v>1593</v>
      </c>
      <c r="O300" s="2" t="str">
        <f ca="1">IF(K298=0,"time value","option price")</f>
        <v>time value</v>
      </c>
      <c r="P300" s="26">
        <f ca="1">IF(K298=0,L300,L301)</f>
        <v>1.3</v>
      </c>
    </row>
    <row r="301" spans="1:16" x14ac:dyDescent="0.35">
      <c r="A301" s="95">
        <f ca="1">RANDBETWEEN(6,16)*5</f>
        <v>75</v>
      </c>
      <c r="B301" s="2" t="s">
        <v>3264</v>
      </c>
      <c r="D301" s="27">
        <f ca="1">A300+D300</f>
        <v>1.4000000000000001</v>
      </c>
      <c r="E301" s="2" t="s">
        <v>3259</v>
      </c>
      <c r="H301" s="27">
        <f ca="1">A300+H300</f>
        <v>1.7000000000000002</v>
      </c>
      <c r="I301" s="2" t="s">
        <v>3259</v>
      </c>
      <c r="L301" s="26">
        <f ca="1">IF(K298=0,D301,H301)</f>
        <v>1.4000000000000001</v>
      </c>
      <c r="M301" s="2" t="s">
        <v>3259</v>
      </c>
    </row>
    <row r="302" spans="1:16" x14ac:dyDescent="0.35">
      <c r="A302" s="23">
        <f ca="1">RANDBETWEEN(4,25)*(IF(RANDBETWEEN(0,1)=0,1,-1))/100</f>
        <v>-0.09</v>
      </c>
      <c r="B302" s="2" t="s">
        <v>490</v>
      </c>
      <c r="D302" s="13">
        <f ca="1">D299*(1+A302)</f>
        <v>68.340999999999994</v>
      </c>
      <c r="E302" s="2" t="s">
        <v>3315</v>
      </c>
      <c r="H302" s="13">
        <f ca="1">H299*(1+A302)</f>
        <v>68.159000000000006</v>
      </c>
      <c r="I302" s="2" t="s">
        <v>3315</v>
      </c>
      <c r="L302" s="26">
        <f ca="1">IF(K298=0,D302,H302)</f>
        <v>68.340999999999994</v>
      </c>
      <c r="M302" s="2" t="s">
        <v>3315</v>
      </c>
    </row>
    <row r="303" spans="1:16" x14ac:dyDescent="0.35">
      <c r="D303" s="27">
        <f ca="1">MAX(0,D302-A301)</f>
        <v>0</v>
      </c>
      <c r="E303" s="2" t="s">
        <v>3316</v>
      </c>
      <c r="H303" s="27">
        <f ca="1">MAX(0,A301-H302)</f>
        <v>6.840999999999994</v>
      </c>
      <c r="I303" s="2" t="s">
        <v>3316</v>
      </c>
      <c r="L303" s="26">
        <f ca="1">IF(K298=0,D303,H303)</f>
        <v>0</v>
      </c>
      <c r="M303" s="2" t="s">
        <v>3316</v>
      </c>
    </row>
    <row r="304" spans="1:16" x14ac:dyDescent="0.35">
      <c r="D304" s="14">
        <f ca="1">IF(ABS(D303/D301-1)&gt;0.1,D303/D301-1,"#RECALCULATE")</f>
        <v>-1</v>
      </c>
      <c r="E304" s="2" t="s">
        <v>3204</v>
      </c>
      <c r="H304" s="14">
        <f ca="1">IF(ABS(H303/H301-1)&gt;0.1,H303/H301-1,"#RECALCULATE")</f>
        <v>3.0241176470588194</v>
      </c>
      <c r="I304" s="2" t="s">
        <v>3204</v>
      </c>
      <c r="L304" s="23">
        <f ca="1">IF(K298=0,D304,H304)</f>
        <v>-1</v>
      </c>
      <c r="M304" s="2" t="s">
        <v>3204</v>
      </c>
    </row>
    <row r="306" spans="1:12" ht="16" thickBot="1" x14ac:dyDescent="0.4">
      <c r="B306" s="120" t="s">
        <v>938</v>
      </c>
      <c r="F306" s="88" t="s">
        <v>939</v>
      </c>
      <c r="J306" s="120" t="s">
        <v>619</v>
      </c>
    </row>
    <row r="307" spans="1:12" ht="16.5" thickTop="1" thickBot="1" x14ac:dyDescent="0.4">
      <c r="B307" s="76" t="str">
        <f ca="1">[1]!std_ans($C$307)</f>
        <v>D</v>
      </c>
      <c r="C307" s="79" t="str">
        <f ca="1" xml:space="preserve"> "/\" &amp;RANDBETWEEN( 1,120) &amp; "/\" &amp;RANDBETWEEN( 1,120) &amp; "/\" &amp;0.1 &amp; "/\" &amp; D304</f>
        <v>/\35/\105/\0.1/\-1</v>
      </c>
      <c r="D307" s="80" t="s">
        <v>3586</v>
      </c>
      <c r="F307" s="76" t="str">
        <f ca="1">[1]!std_ans($G$307)</f>
        <v>B</v>
      </c>
      <c r="G307" s="79" t="str">
        <f ca="1" xml:space="preserve"> "/\" &amp;RANDBETWEEN( 1,120) &amp; "/\" &amp;RANDBETWEEN( 1,120) &amp; "/\" &amp;0.1 &amp; "/\" &amp; H304</f>
        <v>/\27/\96/\0.1/\3.02411764705882</v>
      </c>
      <c r="H307" s="80" t="s">
        <v>940</v>
      </c>
      <c r="J307" s="76" t="str">
        <f ca="1">[1]!std_ans($K$307)</f>
        <v>E</v>
      </c>
      <c r="K307" s="79" t="str">
        <f ca="1" xml:space="preserve"> "/\" &amp;RANDBETWEEN( 1,120) &amp; "/\" &amp;RANDBETWEEN( 1,120) &amp; "/\" &amp;0.1 &amp; "/\" &amp; L304</f>
        <v>/\90/\49/\0.1/\-1</v>
      </c>
      <c r="L307" s="80" t="s">
        <v>942</v>
      </c>
    </row>
    <row r="308" spans="1:12" ht="16" thickTop="1" x14ac:dyDescent="0.35">
      <c r="B308" s="92">
        <f ca="1">[1]!stdnum_A($C$307)</f>
        <v>-0.75131480090157754</v>
      </c>
      <c r="C308" s="82"/>
      <c r="D308" s="77"/>
      <c r="F308" s="92">
        <f ca="1">[1]!stdnum_A($G$307)</f>
        <v>3.3265294117647022</v>
      </c>
      <c r="G308" s="82"/>
      <c r="H308" s="77"/>
      <c r="J308" s="92">
        <f ca="1">[1]!stdnum_A($K$307)</f>
        <v>-1.1000000000000001</v>
      </c>
      <c r="K308" s="82"/>
      <c r="L308" s="77"/>
    </row>
    <row r="309" spans="1:12" x14ac:dyDescent="0.35">
      <c r="B309" s="92">
        <f ca="1">[1]!stdnum_B($C$307)</f>
        <v>-0.82644628099173545</v>
      </c>
      <c r="C309" s="82"/>
      <c r="D309" s="77"/>
      <c r="F309" s="92">
        <f ca="1">[1]!stdnum_B($G$307)</f>
        <v>3.0241176470588198</v>
      </c>
      <c r="G309" s="82"/>
      <c r="H309" s="77"/>
      <c r="J309" s="92">
        <f ca="1">[1]!stdnum_B($K$307)</f>
        <v>-0.90909090909090906</v>
      </c>
      <c r="K309" s="82"/>
      <c r="L309" s="77"/>
    </row>
    <row r="310" spans="1:12" x14ac:dyDescent="0.35">
      <c r="B310" s="92">
        <f ca="1">[1]!stdnum_C($C$307)</f>
        <v>-0.90909090909090906</v>
      </c>
      <c r="C310" s="82"/>
      <c r="D310" s="77"/>
      <c r="F310" s="92">
        <f ca="1">[1]!stdnum_C($G$307)</f>
        <v>2.4992707826932392</v>
      </c>
      <c r="G310" s="82"/>
      <c r="H310" s="77"/>
      <c r="J310" s="92">
        <f ca="1">[1]!stdnum_C($K$307)</f>
        <v>-1.2100000000000002</v>
      </c>
      <c r="K310" s="82"/>
      <c r="L310" s="77"/>
    </row>
    <row r="311" spans="1:12" x14ac:dyDescent="0.35">
      <c r="B311" s="92">
        <f ca="1">[1]!stdnum_D($C$307)</f>
        <v>-1</v>
      </c>
      <c r="C311" s="82"/>
      <c r="D311" s="77"/>
      <c r="F311" s="92">
        <f ca="1">[1]!stdnum_D($G$307)</f>
        <v>2.7491978609625636</v>
      </c>
      <c r="G311" s="82"/>
      <c r="H311" s="77"/>
      <c r="J311" s="92">
        <f ca="1">[1]!stdnum_D($K$307)</f>
        <v>-0.82644628099173545</v>
      </c>
      <c r="K311" s="82"/>
      <c r="L311" s="77"/>
    </row>
    <row r="312" spans="1:12" ht="16" thickBot="1" x14ac:dyDescent="0.4">
      <c r="B312" s="93">
        <f ca="1">[1]!stdnum_E($C$307)</f>
        <v>-0.68301345536507052</v>
      </c>
      <c r="C312" s="84"/>
      <c r="D312" s="78"/>
      <c r="F312" s="93">
        <f ca="1">[1]!stdnum_E($G$307)</f>
        <v>2.2720643479029445</v>
      </c>
      <c r="G312" s="84"/>
      <c r="H312" s="78"/>
      <c r="J312" s="93">
        <f ca="1">[1]!stdnum_E($K$307)</f>
        <v>-1</v>
      </c>
      <c r="K312" s="84"/>
      <c r="L312" s="78"/>
    </row>
    <row r="313" spans="1:12" ht="16" thickTop="1" x14ac:dyDescent="0.35"/>
    <row r="315" spans="1:12" x14ac:dyDescent="0.35">
      <c r="A315" s="88" t="s">
        <v>1294</v>
      </c>
    </row>
    <row r="316" spans="1:12" x14ac:dyDescent="0.35">
      <c r="A316" s="4">
        <f ca="1">5*RANDBETWEEN(8,16)</f>
        <v>55</v>
      </c>
      <c r="B316" s="2" t="s">
        <v>3815</v>
      </c>
      <c r="D316" s="2">
        <f ca="1">RANDBETWEEN(0,1)</f>
        <v>1</v>
      </c>
      <c r="E316" s="23">
        <f ca="1">RANDBETWEEN(1,20)/10</f>
        <v>0.2</v>
      </c>
      <c r="F316" s="2" t="s">
        <v>1747</v>
      </c>
    </row>
    <row r="317" spans="1:12" x14ac:dyDescent="0.35">
      <c r="A317" s="181">
        <f ca="1">RANDBETWEEN(20,40)*2/10</f>
        <v>5.2</v>
      </c>
      <c r="B317" s="2" t="s">
        <v>3816</v>
      </c>
      <c r="E317" s="26">
        <f ca="1">A317*(1+E316)+A316</f>
        <v>61.24</v>
      </c>
      <c r="F317" s="2" t="s">
        <v>771</v>
      </c>
    </row>
    <row r="318" spans="1:12" x14ac:dyDescent="0.35">
      <c r="A318" s="4" t="str">
        <f ca="1">IF(D316=1,"call","put")</f>
        <v>call</v>
      </c>
      <c r="B318" s="2" t="s">
        <v>2942</v>
      </c>
      <c r="E318" s="26">
        <f ca="1">A316-A317*(1+E316)</f>
        <v>48.76</v>
      </c>
      <c r="F318" s="2" t="s">
        <v>772</v>
      </c>
    </row>
    <row r="319" spans="1:12" x14ac:dyDescent="0.35">
      <c r="A319" s="181">
        <f ca="1">A316+A317*IF(D316=1,1,-1)</f>
        <v>60.2</v>
      </c>
      <c r="B319" s="2" t="s">
        <v>3060</v>
      </c>
      <c r="E319" s="187">
        <f ca="1">IF(D316=1,E317,E318)</f>
        <v>61.24</v>
      </c>
    </row>
    <row r="320" spans="1:12" x14ac:dyDescent="0.35">
      <c r="A320" s="181"/>
    </row>
    <row r="321" spans="1:8" ht="16" thickBot="1" x14ac:dyDescent="0.4">
      <c r="B321" s="120" t="s">
        <v>1293</v>
      </c>
      <c r="F321" s="88" t="s">
        <v>2680</v>
      </c>
    </row>
    <row r="322" spans="1:8" ht="16.5" thickTop="1" thickBot="1" x14ac:dyDescent="0.4">
      <c r="B322" s="76" t="str">
        <f ca="1">[1]!std_ans($C$322)</f>
        <v>E</v>
      </c>
      <c r="C322" s="79" t="str">
        <f ca="1" xml:space="preserve"> "/\" &amp;RANDBETWEEN( 1,120) &amp; "/\" &amp;RANDBETWEEN( 1,120) &amp; "/\" &amp;0.1 &amp; "/\" &amp; A319</f>
        <v>/\72/\54/\0.1/\60.2</v>
      </c>
      <c r="D322" s="80" t="s">
        <v>1295</v>
      </c>
      <c r="F322" s="76" t="str">
        <f ca="1">[1]!std_ans($G$322)</f>
        <v>B</v>
      </c>
      <c r="G322" s="79" t="str">
        <f ca="1" xml:space="preserve"> "/\" &amp;RANDBETWEEN( 1,120) &amp; "/\" &amp;RANDBETWEEN( 1,120) &amp; "/\" &amp;0.1 &amp; "/\" &amp; E319</f>
        <v>/\54/\102/\0.1/\61.24</v>
      </c>
      <c r="H322" s="80" t="s">
        <v>2681</v>
      </c>
    </row>
    <row r="323" spans="1:8" ht="16" thickTop="1" x14ac:dyDescent="0.35">
      <c r="B323" s="96">
        <f ca="1">[1]!stdnum_A($C$322)</f>
        <v>72.842000000000013</v>
      </c>
      <c r="C323" s="82"/>
      <c r="D323" s="77"/>
      <c r="F323" s="96">
        <f ca="1">[1]!stdnum_A($G$322)</f>
        <v>55.672727272727272</v>
      </c>
      <c r="G323" s="82"/>
      <c r="H323" s="77"/>
    </row>
    <row r="324" spans="1:8" x14ac:dyDescent="0.35">
      <c r="B324" s="96">
        <f ca="1">[1]!stdnum_B($C$322)</f>
        <v>54.727272727272727</v>
      </c>
      <c r="C324" s="82"/>
      <c r="D324" s="77"/>
      <c r="F324" s="96">
        <f ca="1">[1]!stdnum_B($G$322)</f>
        <v>61.24</v>
      </c>
      <c r="G324" s="82"/>
      <c r="H324" s="77"/>
    </row>
    <row r="325" spans="1:8" x14ac:dyDescent="0.35">
      <c r="B325" s="96">
        <f ca="1">[1]!stdnum_C($C$322)</f>
        <v>66.220000000000013</v>
      </c>
      <c r="C325" s="82"/>
      <c r="D325" s="77"/>
      <c r="F325" s="96">
        <f ca="1">[1]!stdnum_C($G$322)</f>
        <v>46.010518407212608</v>
      </c>
      <c r="G325" s="82"/>
      <c r="H325" s="77"/>
    </row>
    <row r="326" spans="1:8" x14ac:dyDescent="0.35">
      <c r="B326" s="96">
        <f ca="1">[1]!stdnum_D($C$322)</f>
        <v>49.752066115702476</v>
      </c>
      <c r="C326" s="82"/>
      <c r="D326" s="77"/>
      <c r="F326" s="96">
        <f ca="1">[1]!stdnum_D($G$322)</f>
        <v>50.611570247933884</v>
      </c>
      <c r="G326" s="82"/>
      <c r="H326" s="77"/>
    </row>
    <row r="327" spans="1:8" ht="16" thickBot="1" x14ac:dyDescent="0.4">
      <c r="B327" s="97">
        <f ca="1">[1]!stdnum_E($C$322)</f>
        <v>60.2</v>
      </c>
      <c r="C327" s="84"/>
      <c r="D327" s="78"/>
      <c r="F327" s="97">
        <f ca="1">[1]!stdnum_E($G$322)</f>
        <v>41.827744006556919</v>
      </c>
      <c r="G327" s="84"/>
      <c r="H327" s="78"/>
    </row>
    <row r="328" spans="1:8" ht="16" thickTop="1" x14ac:dyDescent="0.35"/>
    <row r="330" spans="1:8" x14ac:dyDescent="0.35">
      <c r="A330" s="88" t="s">
        <v>2983</v>
      </c>
    </row>
    <row r="331" spans="1:8" x14ac:dyDescent="0.35">
      <c r="A331" s="26">
        <f ca="1">ROUND(A332*RANDBETWEEN(80,95)/100,2)</f>
        <v>47.3</v>
      </c>
      <c r="B331" s="2" t="s">
        <v>265</v>
      </c>
      <c r="E331" s="2">
        <f ca="1">ROUND(A334*A335/A333,0)</f>
        <v>3857</v>
      </c>
      <c r="F331" s="2" t="s">
        <v>970</v>
      </c>
    </row>
    <row r="332" spans="1:8" x14ac:dyDescent="0.35">
      <c r="A332" s="4">
        <f ca="1">MROUND(RANDBETWEEN(15,60),5)</f>
        <v>55</v>
      </c>
      <c r="B332" s="2" t="s">
        <v>3264</v>
      </c>
      <c r="E332" s="2">
        <f ca="1">A334*(1-A335)</f>
        <v>15300</v>
      </c>
      <c r="F332" s="2" t="s">
        <v>373</v>
      </c>
    </row>
    <row r="333" spans="1:8" x14ac:dyDescent="0.35">
      <c r="A333" s="26">
        <f ca="1">MROUND(RANDBETWEEN(50,95)/100,0.05)</f>
        <v>0.70000000000000007</v>
      </c>
      <c r="B333" s="2" t="s">
        <v>967</v>
      </c>
      <c r="E333" s="8">
        <f ca="1">E332*(1+A336/12)^A337</f>
        <v>16122.249851501503</v>
      </c>
      <c r="F333" s="2" t="s">
        <v>3257</v>
      </c>
    </row>
    <row r="334" spans="1:8" x14ac:dyDescent="0.35">
      <c r="A334" s="95">
        <f ca="1">MROUND(RANDBETWEEN(8000,20000),2000)</f>
        <v>18000</v>
      </c>
      <c r="B334" s="2" t="s">
        <v>2619</v>
      </c>
      <c r="E334" s="32">
        <f ca="1">MROUND(RANDBETWEEN(100*(A332/A331-1)+5,100*(A332/A331-1)+20)/100,0.02)</f>
        <v>0.28000000000000003</v>
      </c>
      <c r="F334" s="2" t="s">
        <v>490</v>
      </c>
    </row>
    <row r="335" spans="1:8" x14ac:dyDescent="0.35">
      <c r="A335" s="252">
        <f ca="1">MROUND(RANDBETWEEN(5,30)/100,0.05)</f>
        <v>0.15000000000000002</v>
      </c>
      <c r="B335" s="2" t="s">
        <v>968</v>
      </c>
      <c r="E335" s="2">
        <f ca="1">ROUND(A331*(1+E334),2)</f>
        <v>60.54</v>
      </c>
      <c r="F335" s="2" t="s">
        <v>289</v>
      </c>
    </row>
    <row r="336" spans="1:8" x14ac:dyDescent="0.35">
      <c r="A336" s="7">
        <f ca="1">MROUND(RANDBETWEEN(40,75)/1000,0.005)</f>
        <v>7.0000000000000007E-2</v>
      </c>
      <c r="B336" s="2" t="s">
        <v>2995</v>
      </c>
      <c r="E336" s="8">
        <f ca="1">MAX(0,E335-A332)*E331</f>
        <v>21367.779999999995</v>
      </c>
      <c r="F336" s="2" t="s">
        <v>290</v>
      </c>
    </row>
    <row r="337" spans="1:11" x14ac:dyDescent="0.35">
      <c r="A337" s="4">
        <f ca="1">RANDBETWEEN(9,24)</f>
        <v>9</v>
      </c>
      <c r="B337" s="2" t="s">
        <v>969</v>
      </c>
      <c r="E337" s="10">
        <f ca="1">E336+E333</f>
        <v>37490.029851501502</v>
      </c>
      <c r="F337" s="2" t="s">
        <v>2910</v>
      </c>
    </row>
    <row r="338" spans="1:11" x14ac:dyDescent="0.35">
      <c r="E338" s="32">
        <f ca="1">E337/A334-1</f>
        <v>1.082779436194528</v>
      </c>
      <c r="F338" s="2" t="s">
        <v>3204</v>
      </c>
    </row>
    <row r="339" spans="1:11" x14ac:dyDescent="0.35">
      <c r="E339" s="14">
        <f ca="1">IF(ABS(E333/A334-1)&gt;0.05,E333/A334-1,"RECALCULATE")</f>
        <v>-0.10431945269436094</v>
      </c>
      <c r="F339" s="2" t="s">
        <v>3495</v>
      </c>
    </row>
    <row r="341" spans="1:11" ht="16" thickBot="1" x14ac:dyDescent="0.4">
      <c r="B341" s="120" t="s">
        <v>1031</v>
      </c>
      <c r="F341" s="120" t="s">
        <v>545</v>
      </c>
    </row>
    <row r="342" spans="1:11" ht="16.5" thickTop="1" thickBot="1" x14ac:dyDescent="0.4">
      <c r="B342" s="76" t="str">
        <f ca="1">[1]!std_ans($C$342)</f>
        <v>B</v>
      </c>
      <c r="C342" s="79" t="str">
        <f ca="1" xml:space="preserve"> "/\" &amp;RANDBETWEEN( 1,120) &amp; "/\" &amp;RANDBETWEEN( 1,120) &amp; "/\" &amp;0.1 &amp; "/\" &amp; E338</f>
        <v>/\54/\53/\0.1/\1.08277943619453</v>
      </c>
      <c r="D342" s="80" t="s">
        <v>2984</v>
      </c>
      <c r="F342" s="76" t="str">
        <f ca="1">[1]!std_ans($G$342)</f>
        <v>D</v>
      </c>
      <c r="G342" s="79" t="str">
        <f ca="1" xml:space="preserve"> "/\" &amp;RANDBETWEEN( 1,120) &amp; "/\" &amp;RANDBETWEEN( 1,120) &amp; "/\" &amp;0.1 &amp; "/\" &amp; E339</f>
        <v>/\105/\118/\0.1/\-0.104319452694361</v>
      </c>
      <c r="H342" s="80" t="s">
        <v>546</v>
      </c>
    </row>
    <row r="343" spans="1:11" ht="16" thickTop="1" x14ac:dyDescent="0.35">
      <c r="B343" s="307">
        <f ca="1">[1]!stdnum_A($C$342)</f>
        <v>1.3101631177953814</v>
      </c>
      <c r="C343" s="82"/>
      <c r="D343" s="77"/>
      <c r="F343" s="92">
        <f ca="1">[1]!stdnum_A($G$342)</f>
        <v>-7.1251589846568528E-2</v>
      </c>
      <c r="G343" s="82"/>
      <c r="H343" s="289"/>
    </row>
    <row r="344" spans="1:11" x14ac:dyDescent="0.35">
      <c r="B344" s="307">
        <f ca="1">[1]!stdnum_B($C$342)</f>
        <v>1.08277943619453</v>
      </c>
      <c r="C344" s="82"/>
      <c r="D344" s="77"/>
      <c r="F344" s="92">
        <f ca="1">[1]!stdnum_B($G$342)</f>
        <v>-9.4835866085782733E-2</v>
      </c>
      <c r="G344" s="82"/>
      <c r="H344" s="77"/>
    </row>
    <row r="345" spans="1:11" x14ac:dyDescent="0.35">
      <c r="B345" s="307">
        <f ca="1">[1]!stdnum_C($C$342)</f>
        <v>1.1910573798139832</v>
      </c>
      <c r="C345" s="82"/>
      <c r="D345" s="77"/>
      <c r="F345" s="92">
        <f ca="1">[1]!stdnum_C($G$342)</f>
        <v>-7.8376748831225376E-2</v>
      </c>
      <c r="G345" s="82"/>
      <c r="H345" s="77"/>
    </row>
    <row r="346" spans="1:11" x14ac:dyDescent="0.35">
      <c r="B346" s="307">
        <f ca="1">[1]!stdnum_D($C$342)</f>
        <v>0.9843449419950272</v>
      </c>
      <c r="C346" s="82"/>
      <c r="D346" s="77"/>
      <c r="F346" s="92">
        <f ca="1">[1]!stdnum_D($G$342)</f>
        <v>-0.10431945269436101</v>
      </c>
      <c r="G346" s="82"/>
      <c r="H346" s="77"/>
    </row>
    <row r="347" spans="1:11" ht="16" thickBot="1" x14ac:dyDescent="0.4">
      <c r="B347" s="308">
        <f ca="1">[1]!stdnum_E($C$342)</f>
        <v>0.89485903817729739</v>
      </c>
      <c r="C347" s="84"/>
      <c r="D347" s="78"/>
      <c r="F347" s="93">
        <f ca="1">[1]!stdnum_E($G$342)</f>
        <v>-8.6214423714347926E-2</v>
      </c>
      <c r="G347" s="84"/>
      <c r="H347" s="78"/>
    </row>
    <row r="348" spans="1:11" ht="16" thickTop="1" x14ac:dyDescent="0.35">
      <c r="F348" s="82"/>
      <c r="G348" s="82"/>
      <c r="H348" s="17"/>
    </row>
    <row r="350" spans="1:11" x14ac:dyDescent="0.35">
      <c r="A350" s="88" t="s">
        <v>3344</v>
      </c>
    </row>
    <row r="351" spans="1:11" x14ac:dyDescent="0.35">
      <c r="D351" s="407" t="s">
        <v>2798</v>
      </c>
      <c r="E351" s="407"/>
      <c r="G351" s="407" t="s">
        <v>2618</v>
      </c>
      <c r="H351" s="407"/>
      <c r="J351" s="2">
        <f ca="1">RANDBETWEEN(0,1)</f>
        <v>0</v>
      </c>
    </row>
    <row r="352" spans="1:11" x14ac:dyDescent="0.35">
      <c r="A352" s="22" t="s">
        <v>652</v>
      </c>
      <c r="D352" s="27">
        <f ca="1">A354-C353</f>
        <v>42.9</v>
      </c>
      <c r="E352" s="2" t="s">
        <v>265</v>
      </c>
      <c r="G352" s="27">
        <f ca="1">D352+D354</f>
        <v>50.4</v>
      </c>
      <c r="H352" s="2" t="s">
        <v>2619</v>
      </c>
      <c r="J352" s="2" t="str">
        <f ca="1">IF(J351=0,"time value","price")</f>
        <v>time value</v>
      </c>
      <c r="K352" s="2" t="s">
        <v>1263</v>
      </c>
    </row>
    <row r="353" spans="1:12" x14ac:dyDescent="0.35">
      <c r="A353" s="26">
        <f ca="1">MAX(0,C353)</f>
        <v>2.1</v>
      </c>
      <c r="B353" s="2" t="s">
        <v>1882</v>
      </c>
      <c r="C353" s="26">
        <f ca="1">RANDBETWEEN(-10,25)/10</f>
        <v>2.1</v>
      </c>
      <c r="D353" s="27">
        <f ca="1">RANDBETWEEN(8,80)/10</f>
        <v>5.4</v>
      </c>
      <c r="E353" s="2" t="s">
        <v>1593</v>
      </c>
      <c r="G353" s="27">
        <f ca="1">G352*(1+A355)</f>
        <v>38.808</v>
      </c>
      <c r="H353" s="2" t="s">
        <v>2910</v>
      </c>
      <c r="J353" s="181">
        <f ca="1">IF(J351=0,D353,D354)</f>
        <v>5.4</v>
      </c>
    </row>
    <row r="354" spans="1:12" x14ac:dyDescent="0.35">
      <c r="A354" s="95">
        <f ca="1">RANDBETWEEN(6,16)*5</f>
        <v>45</v>
      </c>
      <c r="B354" s="2" t="s">
        <v>3264</v>
      </c>
      <c r="D354" s="27">
        <f ca="1">A353+D353</f>
        <v>7.5</v>
      </c>
      <c r="E354" s="2" t="s">
        <v>3259</v>
      </c>
      <c r="G354" s="27">
        <f ca="1">IF(G353&gt;A354,G353,IF(A354&gt;G353,A354,"it is impossible to get this rate of return"))</f>
        <v>45</v>
      </c>
      <c r="H354" s="2" t="s">
        <v>3315</v>
      </c>
    </row>
    <row r="355" spans="1:12" x14ac:dyDescent="0.35">
      <c r="A355" s="23">
        <f ca="1">RANDBETWEEN(4,25)*B357/100</f>
        <v>-0.23</v>
      </c>
      <c r="B355" s="2" t="s">
        <v>2617</v>
      </c>
      <c r="D355" s="13">
        <f ca="1">D352*(1+A356)</f>
        <v>40.754999999999995</v>
      </c>
      <c r="E355" s="2" t="s">
        <v>3315</v>
      </c>
      <c r="G355" s="14">
        <f ca="1">A354/G352-1</f>
        <v>-0.1071428571428571</v>
      </c>
      <c r="H355" s="2" t="s">
        <v>1655</v>
      </c>
    </row>
    <row r="356" spans="1:12" x14ac:dyDescent="0.35">
      <c r="A356" s="23">
        <f ca="1">RANDBETWEEN(4,25)*B357/100</f>
        <v>-0.05</v>
      </c>
      <c r="B356" s="2" t="s">
        <v>490</v>
      </c>
      <c r="D356" s="27">
        <f ca="1">MAX(0,A354-D355)</f>
        <v>4.2450000000000045</v>
      </c>
      <c r="E356" s="2" t="s">
        <v>3316</v>
      </c>
    </row>
    <row r="357" spans="1:12" x14ac:dyDescent="0.35">
      <c r="B357" s="2">
        <f ca="1">(IF(RANDBETWEEN(0,1)=0,1,-1))</f>
        <v>-1</v>
      </c>
      <c r="D357" s="13">
        <f ca="1">D355+D356</f>
        <v>45</v>
      </c>
      <c r="E357" s="2" t="s">
        <v>2910</v>
      </c>
    </row>
    <row r="358" spans="1:12" x14ac:dyDescent="0.35">
      <c r="D358" s="14">
        <f ca="1">IF(ABS(D357/G352-1)&lt;0.03,"#RECALCULATE",D357/G352-1)</f>
        <v>-0.1071428571428571</v>
      </c>
      <c r="E358" s="2" t="s">
        <v>2845</v>
      </c>
    </row>
    <row r="360" spans="1:12" ht="16" thickBot="1" x14ac:dyDescent="0.4">
      <c r="B360" s="120" t="s">
        <v>3343</v>
      </c>
      <c r="F360" s="88" t="s">
        <v>3346</v>
      </c>
      <c r="J360" s="120" t="s">
        <v>3348</v>
      </c>
    </row>
    <row r="361" spans="1:12" ht="16.5" thickTop="1" thickBot="1" x14ac:dyDescent="0.4">
      <c r="B361" s="76" t="str">
        <f ca="1">[1]!std_ans($C$361)</f>
        <v>C</v>
      </c>
      <c r="C361" s="79" t="str">
        <f ca="1" xml:space="preserve"> "/\" &amp;RANDBETWEEN( 1,120) &amp; "/\" &amp;RANDBETWEEN( 1,120) &amp; "/\" &amp;0.1 &amp; "/\" &amp; D358</f>
        <v>/\103/\1/\0.1/\-0.107142857142857</v>
      </c>
      <c r="D361" s="80" t="s">
        <v>3345</v>
      </c>
      <c r="F361" s="76" t="str">
        <f ca="1">[1]!std_ans($G$361)</f>
        <v>D</v>
      </c>
      <c r="G361" s="79" t="str">
        <f ca="1" xml:space="preserve"> "/\" &amp;RANDBETWEEN( 1,120) &amp; "/\" &amp;RANDBETWEEN( 1,120) &amp; "/\" &amp;0.1 &amp; "/\" &amp; G355</f>
        <v>/\87/\81/\0.1/\-0.107142857142857</v>
      </c>
      <c r="H361" s="80" t="s">
        <v>3347</v>
      </c>
      <c r="J361" s="76" t="str">
        <f ca="1">[1]!std_ans($K$361)</f>
        <v>B</v>
      </c>
      <c r="K361" s="79" t="str">
        <f ca="1" xml:space="preserve"> "/\" &amp;RANDBETWEEN( 1,120) &amp; "/\" &amp;RANDBETWEEN( 1,120) &amp; "/\" &amp;0.1 &amp; "/\" &amp; D357</f>
        <v>/\27/\5/\0.1/\45</v>
      </c>
      <c r="L361" s="80" t="s">
        <v>3349</v>
      </c>
    </row>
    <row r="362" spans="1:12" ht="16" thickTop="1" x14ac:dyDescent="0.35">
      <c r="B362" s="92">
        <f ca="1">[1]!stdnum_A($C$361)</f>
        <v>-0.15686785714285698</v>
      </c>
      <c r="C362" s="82"/>
      <c r="D362" s="77"/>
      <c r="F362" s="92">
        <f ca="1">[1]!stdnum_A($G$361)</f>
        <v>-8.0498014382311772E-2</v>
      </c>
      <c r="G362" s="82"/>
      <c r="H362" s="77"/>
      <c r="J362" s="96">
        <f ca="1">[1]!stdnum_A($K$361)</f>
        <v>49.500000000000007</v>
      </c>
      <c r="K362" s="82"/>
      <c r="L362" s="77"/>
    </row>
    <row r="363" spans="1:12" x14ac:dyDescent="0.35">
      <c r="B363" s="92">
        <f ca="1">[1]!stdnum_B($C$361)</f>
        <v>-0.1178571428571427</v>
      </c>
      <c r="C363" s="82"/>
      <c r="D363" s="77"/>
      <c r="F363" s="92">
        <f ca="1">[1]!stdnum_B($G$361)</f>
        <v>-9.7402597402597269E-2</v>
      </c>
      <c r="G363" s="82"/>
      <c r="H363" s="77"/>
      <c r="J363" s="96">
        <f ca="1">[1]!stdnum_B($K$361)</f>
        <v>45</v>
      </c>
      <c r="K363" s="82"/>
      <c r="L363" s="77"/>
    </row>
    <row r="364" spans="1:12" x14ac:dyDescent="0.35">
      <c r="B364" s="92">
        <f ca="1">[1]!stdnum_C($C$361)</f>
        <v>-0.107142857142857</v>
      </c>
      <c r="C364" s="82"/>
      <c r="D364" s="77"/>
      <c r="F364" s="92">
        <f ca="1">[1]!stdnum_C($G$361)</f>
        <v>-8.8547815820542969E-2</v>
      </c>
      <c r="G364" s="82"/>
      <c r="H364" s="77"/>
      <c r="J364" s="96">
        <f ca="1">[1]!stdnum_C($K$361)</f>
        <v>54.45000000000001</v>
      </c>
      <c r="K364" s="82"/>
      <c r="L364" s="77"/>
    </row>
    <row r="365" spans="1:12" x14ac:dyDescent="0.35">
      <c r="B365" s="92">
        <f ca="1">[1]!stdnum_D($C$361)</f>
        <v>-0.12964285714285698</v>
      </c>
      <c r="C365" s="82"/>
      <c r="D365" s="77"/>
      <c r="F365" s="92">
        <f ca="1">[1]!stdnum_D($G$361)</f>
        <v>-0.107142857142857</v>
      </c>
      <c r="G365" s="82"/>
      <c r="H365" s="77"/>
      <c r="J365" s="96">
        <f ca="1">[1]!stdnum_D($K$361)</f>
        <v>65.884500000000017</v>
      </c>
      <c r="K365" s="82"/>
      <c r="L365" s="77"/>
    </row>
    <row r="366" spans="1:12" ht="16" thickBot="1" x14ac:dyDescent="0.4">
      <c r="B366" s="93">
        <f ca="1">[1]!stdnum_E($C$361)</f>
        <v>-0.14260714285714271</v>
      </c>
      <c r="C366" s="84"/>
      <c r="D366" s="78"/>
      <c r="F366" s="93">
        <f ca="1">[1]!stdnum_E($G$361)</f>
        <v>-0.1178571428571427</v>
      </c>
      <c r="G366" s="84"/>
      <c r="H366" s="78"/>
      <c r="J366" s="97">
        <f ca="1">[1]!stdnum_E($K$361)</f>
        <v>59.895000000000017</v>
      </c>
      <c r="K366" s="84"/>
      <c r="L366" s="78"/>
    </row>
    <row r="367" spans="1:12" ht="16" thickTop="1" x14ac:dyDescent="0.35"/>
    <row r="369" spans="1:14" x14ac:dyDescent="0.35">
      <c r="A369" s="88" t="s">
        <v>1909</v>
      </c>
    </row>
    <row r="370" spans="1:14" x14ac:dyDescent="0.35">
      <c r="A370" s="282">
        <f ca="1">500*RANDBETWEEN(4,8)</f>
        <v>2500</v>
      </c>
      <c r="B370" s="2" t="s">
        <v>1940</v>
      </c>
      <c r="D370" s="2">
        <f ca="1">RANDBETWEEN(0,1)</f>
        <v>1</v>
      </c>
      <c r="E370" s="2" t="s">
        <v>2141</v>
      </c>
      <c r="F370" s="4" t="str">
        <f ca="1">IF(D370=1,"call","put")</f>
        <v>call</v>
      </c>
      <c r="G370" s="4" t="str">
        <f ca="1">IF(D370=1,"buys","sells")</f>
        <v>buys</v>
      </c>
      <c r="H370" s="4" t="str">
        <f ca="1">IF(D370=1,"cost","revenue")</f>
        <v>cost</v>
      </c>
      <c r="I370" s="6" t="s">
        <v>2691</v>
      </c>
      <c r="J370" s="2" t="str">
        <f ca="1">INDEX(I371:I375,RANDBETWEEN(1,5))</f>
        <v>peso</v>
      </c>
      <c r="K370" s="142">
        <f ca="1">ROUND(ABS(E375),0)</f>
        <v>810</v>
      </c>
    </row>
    <row r="371" spans="1:14" x14ac:dyDescent="0.35">
      <c r="A371" s="114">
        <f ca="1">5*RANDBETWEEN(22,50)/100</f>
        <v>1.8</v>
      </c>
      <c r="B371" s="2" t="s">
        <v>3815</v>
      </c>
      <c r="E371" s="10">
        <f ca="1">A370*A372</f>
        <v>90</v>
      </c>
      <c r="F371" s="2" t="s">
        <v>3814</v>
      </c>
      <c r="H371" s="4" t="str">
        <f ca="1">IF(D370=1,"send","receive from")</f>
        <v>send</v>
      </c>
      <c r="I371" s="4" t="s">
        <v>472</v>
      </c>
      <c r="K371" s="243" t="str">
        <f ca="1">F370</f>
        <v>call</v>
      </c>
      <c r="L371" s="6" t="str">
        <f ca="1">IF(E375&gt;0,"saves","costs")</f>
        <v>saves</v>
      </c>
      <c r="M371" s="2" t="s">
        <v>2524</v>
      </c>
      <c r="N371" s="2" t="str">
        <f ca="1">K371&amp;" options and the hedge eventually "&amp;L371</f>
        <v>call options and the hedge eventually saves</v>
      </c>
    </row>
    <row r="372" spans="1:14" x14ac:dyDescent="0.35">
      <c r="A372" s="255">
        <f ca="1">RANDBETWEEN(10,30)/500</f>
        <v>3.5999999999999997E-2</v>
      </c>
      <c r="B372" s="2" t="s">
        <v>3816</v>
      </c>
      <c r="E372" s="10">
        <f ca="1">A370*A373</f>
        <v>5400</v>
      </c>
      <c r="F372" s="2" t="s">
        <v>2296</v>
      </c>
      <c r="I372" s="4" t="s">
        <v>473</v>
      </c>
      <c r="K372" s="242" t="str">
        <f ca="1">IF(K371="call","put","call")</f>
        <v>put</v>
      </c>
      <c r="L372" s="6" t="str">
        <f ca="1">IF(E375&lt;0,"saves","costs")</f>
        <v>costs</v>
      </c>
      <c r="M372" s="2" t="s">
        <v>2303</v>
      </c>
      <c r="N372" s="2" t="str">
        <f ca="1">K372&amp;" options and the hedge eventually "&amp;L372</f>
        <v>put options and the hedge eventually costs</v>
      </c>
    </row>
    <row r="373" spans="1:14" x14ac:dyDescent="0.35">
      <c r="A373" s="114">
        <f ca="1">ROUND((1+RANDBETWEEN(16,25)/100)^(IF(RANDBETWEEN(0,1)=0,1,-1))*A371,2)</f>
        <v>2.16</v>
      </c>
      <c r="B373" s="2" t="s">
        <v>3817</v>
      </c>
      <c r="E373" s="10">
        <f ca="1">A370*IF(D370=1,MAX(0,A373-A371),MAX(0,A371-A373))</f>
        <v>900.00000000000023</v>
      </c>
      <c r="F373" s="2" t="s">
        <v>1460</v>
      </c>
      <c r="I373" s="4" t="s">
        <v>2024</v>
      </c>
    </row>
    <row r="374" spans="1:14" x14ac:dyDescent="0.35">
      <c r="A374" s="14">
        <f ca="1">E375/E371</f>
        <v>9.0000000000000018</v>
      </c>
      <c r="B374" s="2" t="s">
        <v>641</v>
      </c>
      <c r="E374" s="10">
        <f ca="1">E372+IF(D370=1,E371,-E371)-IF(D370=1,E373,-E373)</f>
        <v>4590</v>
      </c>
      <c r="F374" s="2" t="s">
        <v>510</v>
      </c>
      <c r="I374" s="4" t="s">
        <v>1725</v>
      </c>
    </row>
    <row r="375" spans="1:14" x14ac:dyDescent="0.35">
      <c r="E375" s="10">
        <f ca="1">E373-E371</f>
        <v>810.00000000000023</v>
      </c>
      <c r="F375" s="2" t="s">
        <v>511</v>
      </c>
      <c r="I375" s="4" t="s">
        <v>1592</v>
      </c>
    </row>
    <row r="377" spans="1:14" ht="16" thickBot="1" x14ac:dyDescent="0.4">
      <c r="B377" s="88" t="s">
        <v>1908</v>
      </c>
      <c r="F377" s="88" t="s">
        <v>1533</v>
      </c>
      <c r="J377" s="120" t="s">
        <v>1535</v>
      </c>
    </row>
    <row r="378" spans="1:14" ht="16.5" thickTop="1" thickBot="1" x14ac:dyDescent="0.4">
      <c r="B378" s="76" t="str">
        <f ca="1">[1]!std_ans($C$378)</f>
        <v>A</v>
      </c>
      <c r="C378" s="79" t="str">
        <f ca="1" xml:space="preserve"> "/\" &amp;RANDBETWEEN( 1,120) &amp; "/\" &amp;RANDBETWEEN( 1,120) &amp; "/\" &amp;0.1 &amp; "/\" &amp; A374</f>
        <v>/\18/\74/\0.1/\9</v>
      </c>
      <c r="D378" s="80" t="s">
        <v>1910</v>
      </c>
      <c r="F378" s="76" t="str">
        <f ca="1">[1]!std_ans($G$378)</f>
        <v>E</v>
      </c>
      <c r="G378" s="79" t="str">
        <f ca="1" xml:space="preserve"> "/\" &amp;RANDBETWEEN( 1,120) &amp; "/\" &amp;RANDBETWEEN( 1,120) &amp; "/\" &amp;0.1 &amp; "/\" &amp; E374</f>
        <v>/\114/\111/\0.1/\4590</v>
      </c>
      <c r="H378" s="80" t="s">
        <v>1534</v>
      </c>
      <c r="J378" s="76" t="str">
        <f ca="1">[1]!alpha_ans($K$378)</f>
        <v>C</v>
      </c>
      <c r="K378" s="79" t="str">
        <f ca="1" xml:space="preserve"> "/\" &amp;RANDBETWEEN( 1,5) &amp; "/\" &amp;RANDBETWEEN( 1,120) &amp; "/\" &amp;RANDBETWEEN( 1,6) &amp; "/\" &amp;RANDBETWEEN( 1,2) &amp; "/\" &amp; K370 &amp; "/\" &amp; "Mask" &amp; "/\" &amp; "Mask" &amp; "/\" &amp; N371 &amp; "/\" &amp; N372</f>
        <v>/\3/\88/\1/\1/\810/\Mask/\Mask/\call options and the hedge eventually saves/\put options and the hedge eventually costs</v>
      </c>
      <c r="L378" s="80" t="s">
        <v>1536</v>
      </c>
    </row>
    <row r="379" spans="1:14" ht="16" thickTop="1" x14ac:dyDescent="0.35">
      <c r="B379" s="307">
        <f ca="1">[1]!stdnum_A($C$378)</f>
        <v>9</v>
      </c>
      <c r="C379" s="82"/>
      <c r="D379" s="77"/>
      <c r="F379" s="101">
        <f ca="1">[1]!stdnum_A($G$378)</f>
        <v>4172.727272727273</v>
      </c>
      <c r="G379" s="82"/>
      <c r="H379" s="77"/>
      <c r="J379" s="101">
        <f ca="1">[1]!onepair_A($K$378)</f>
        <v>1071.2249999999999</v>
      </c>
      <c r="K379" s="82" t="str">
        <f ca="1">[1]!onepair_A2($K$378)</f>
        <v>call options and the hedge eventually saves</v>
      </c>
      <c r="L379" s="77"/>
    </row>
    <row r="380" spans="1:14" x14ac:dyDescent="0.35">
      <c r="B380" s="307">
        <f ca="1">[1]!stdnum_B($C$378)</f>
        <v>9.9</v>
      </c>
      <c r="C380" s="82"/>
      <c r="D380" s="77"/>
      <c r="F380" s="101">
        <f ca="1">[1]!stdnum_B($G$378)</f>
        <v>3448.5349361382409</v>
      </c>
      <c r="G380" s="82"/>
      <c r="H380" s="77"/>
      <c r="J380" s="101">
        <f ca="1">[1]!onepair_B($K$378)</f>
        <v>931.5</v>
      </c>
      <c r="K380" s="82" t="str">
        <f ca="1">[1]!onepair_B2($K$378)</f>
        <v>put options and the hedge eventually costs</v>
      </c>
      <c r="L380" s="77"/>
    </row>
    <row r="381" spans="1:14" x14ac:dyDescent="0.35">
      <c r="B381" s="307">
        <f ca="1">[1]!stdnum_C($C$378)</f>
        <v>8.1818181818181817</v>
      </c>
      <c r="C381" s="82"/>
      <c r="D381" s="77"/>
      <c r="F381" s="101">
        <f ca="1">[1]!stdnum_C($G$378)</f>
        <v>3135.0317601256738</v>
      </c>
      <c r="G381" s="82"/>
      <c r="H381" s="77"/>
      <c r="J381" s="101">
        <f ca="1">[1]!onepair_C($K$378)</f>
        <v>810</v>
      </c>
      <c r="K381" s="82" t="str">
        <f ca="1">[1]!onepair_C2($K$378)</f>
        <v>call options and the hedge eventually saves</v>
      </c>
      <c r="L381" s="77"/>
    </row>
    <row r="382" spans="1:14" x14ac:dyDescent="0.35">
      <c r="B382" s="307">
        <f ca="1">[1]!stdnum_D($C$378)</f>
        <v>7.438016528925619</v>
      </c>
      <c r="C382" s="82"/>
      <c r="D382" s="77"/>
      <c r="F382" s="101">
        <f ca="1">[1]!stdnum_D($G$378)</f>
        <v>3793.3884297520658</v>
      </c>
      <c r="G382" s="82"/>
      <c r="H382" s="77"/>
      <c r="J382" s="101">
        <f ca="1">[1]!onepair_D($K$378)</f>
        <v>1071.2249999999999</v>
      </c>
      <c r="K382" s="82" t="str">
        <f ca="1">[1]!onepair_D2($K$378)</f>
        <v>put options and the hedge eventually costs</v>
      </c>
      <c r="L382" s="77"/>
    </row>
    <row r="383" spans="1:14" ht="16" thickBot="1" x14ac:dyDescent="0.4">
      <c r="B383" s="308">
        <f ca="1">[1]!stdnum_E($C$378)</f>
        <v>6.7618332081141981</v>
      </c>
      <c r="C383" s="84"/>
      <c r="D383" s="78"/>
      <c r="F383" s="102">
        <f ca="1">[1]!stdnum_E($G$378)</f>
        <v>4590</v>
      </c>
      <c r="G383" s="84"/>
      <c r="H383" s="78"/>
      <c r="J383" s="102">
        <f ca="1">[1]!onepair_E($K$378)</f>
        <v>810</v>
      </c>
      <c r="K383" s="84" t="str">
        <f ca="1">[1]!onepair_E2($K$378)</f>
        <v>put options and the hedge eventually costs</v>
      </c>
      <c r="L383" s="78"/>
    </row>
    <row r="384" spans="1:14" ht="16" thickTop="1" x14ac:dyDescent="0.35"/>
    <row r="386" spans="1:19" x14ac:dyDescent="0.35">
      <c r="A386" s="88" t="s">
        <v>1538</v>
      </c>
    </row>
    <row r="387" spans="1:19" x14ac:dyDescent="0.35">
      <c r="A387" s="26">
        <f ca="1">ROUND((IF(RANDBETWEEN(0,1)=0,1/1.2,1.2))*A388,2)</f>
        <v>66</v>
      </c>
      <c r="B387" s="2" t="s">
        <v>265</v>
      </c>
      <c r="E387" s="27">
        <f ca="1">MAX(0,A392-A388)</f>
        <v>13.200000000000003</v>
      </c>
      <c r="F387" s="62" t="s">
        <v>1829</v>
      </c>
      <c r="K387" s="12">
        <f ca="1">RANDBETWEEN(1,8)*5/100</f>
        <v>0.05</v>
      </c>
      <c r="L387" s="2" t="s">
        <v>2075</v>
      </c>
      <c r="N387" s="2">
        <f ca="1">RANDBETWEEN(0,1)</f>
        <v>0</v>
      </c>
      <c r="O387" s="2">
        <f ca="1">RANDBETWEEN(0,1)</f>
        <v>0</v>
      </c>
      <c r="P387" s="26">
        <f ca="1">IF(N387=0,E391,E392)</f>
        <v>67.349999999999994</v>
      </c>
      <c r="Q387" s="4" t="str">
        <f ca="1">IF(N387=0,"call","put")</f>
        <v>call</v>
      </c>
      <c r="R387" s="4" t="str">
        <f ca="1">IF(Q387="call","put","call")</f>
        <v>put</v>
      </c>
      <c r="S387" s="2" t="str">
        <f ca="1">Q387&amp;" exactly offsets losses on the "&amp;R387</f>
        <v>call exactly offsets losses on the put</v>
      </c>
    </row>
    <row r="388" spans="1:19" x14ac:dyDescent="0.35">
      <c r="A388" s="4">
        <f ca="1">MROUND(RANDBETWEEN(15,60),5)</f>
        <v>55</v>
      </c>
      <c r="B388" s="2" t="s">
        <v>3264</v>
      </c>
      <c r="E388" s="27">
        <f ca="1">MAX(0,A388-A392)</f>
        <v>0</v>
      </c>
      <c r="F388" s="62" t="s">
        <v>3265</v>
      </c>
      <c r="K388" s="27">
        <f ca="1">A391*(1+K387)</f>
        <v>12.967499999999999</v>
      </c>
      <c r="L388" s="2" t="s">
        <v>2076</v>
      </c>
      <c r="Q388" s="4" t="str">
        <f ca="1">IF(Q387="call","put","call")</f>
        <v>put</v>
      </c>
      <c r="R388" s="4" t="str">
        <f ca="1">IF(Q388="call","put","call")</f>
        <v>call</v>
      </c>
      <c r="S388" s="2" t="str">
        <f ca="1">Q388&amp;" exactly offsets losses on the "&amp;R388</f>
        <v>put exactly offsets losses on the call</v>
      </c>
    </row>
    <row r="389" spans="1:19" x14ac:dyDescent="0.35">
      <c r="A389" s="26">
        <f ca="1">MAX(0,A387-A388)+MROUND(RANDBETWEEN(50,150)/100,0.05)</f>
        <v>11.75</v>
      </c>
      <c r="B389" s="2" t="s">
        <v>967</v>
      </c>
      <c r="E389" s="27">
        <f ca="1">E387+E388</f>
        <v>13.200000000000003</v>
      </c>
      <c r="F389" s="62" t="s">
        <v>2910</v>
      </c>
      <c r="K389" s="27">
        <f ca="1">A388+K388</f>
        <v>67.967500000000001</v>
      </c>
      <c r="L389" s="2" t="s">
        <v>291</v>
      </c>
      <c r="P389" s="26">
        <f ca="1">IF(O387=0,K389,K390)</f>
        <v>67.967500000000001</v>
      </c>
      <c r="Q389" s="4" t="str">
        <f ca="1">IF(O387=0,"call","put")</f>
        <v>call</v>
      </c>
      <c r="R389" s="4" t="str">
        <f ca="1">IF(Q389="call","put","call")</f>
        <v>put</v>
      </c>
      <c r="S389" s="2" t="str">
        <f ca="1">Q389&amp;" profits exceed "&amp;R389</f>
        <v>call profits exceed put</v>
      </c>
    </row>
    <row r="390" spans="1:19" x14ac:dyDescent="0.35">
      <c r="A390" s="26">
        <f ca="1">MAX(0,A388-A387)+MROUND(RANDBETWEEN(50,150)/100,0.05)</f>
        <v>0.60000000000000009</v>
      </c>
      <c r="B390" s="2" t="s">
        <v>698</v>
      </c>
      <c r="E390" s="14">
        <f ca="1">E389/A391-1</f>
        <v>6.8825910931174406E-2</v>
      </c>
      <c r="F390" s="62" t="s">
        <v>1129</v>
      </c>
      <c r="K390" s="27">
        <f ca="1">A388-K388</f>
        <v>42.032499999999999</v>
      </c>
      <c r="L390" s="2" t="s">
        <v>292</v>
      </c>
      <c r="Q390" s="4" t="str">
        <f ca="1">IF(Q389="call","put","call")</f>
        <v>put</v>
      </c>
      <c r="R390" s="4" t="str">
        <f ca="1">IF(Q390="call","put","call")</f>
        <v>call</v>
      </c>
      <c r="S390" s="2" t="str">
        <f ca="1">Q390&amp;" profits exceed "&amp;R390</f>
        <v>put profits exceed call</v>
      </c>
    </row>
    <row r="391" spans="1:19" x14ac:dyDescent="0.35">
      <c r="A391" s="181">
        <f ca="1">A390+A389</f>
        <v>12.35</v>
      </c>
      <c r="B391" s="2" t="s">
        <v>2619</v>
      </c>
      <c r="E391" s="27">
        <f ca="1">A388+A391</f>
        <v>67.349999999999994</v>
      </c>
      <c r="F391" s="2" t="s">
        <v>3838</v>
      </c>
    </row>
    <row r="392" spans="1:19" x14ac:dyDescent="0.35">
      <c r="A392" s="26">
        <f ca="1">ROUND((1+RANDBETWEEN(16,25)/100)^(IF(RANDBETWEEN(0,1)=0,1,-1))*A388,2)</f>
        <v>68.2</v>
      </c>
      <c r="B392" s="2" t="s">
        <v>3315</v>
      </c>
      <c r="E392" s="27">
        <f ca="1">A388-A391</f>
        <v>42.65</v>
      </c>
      <c r="F392" s="2" t="s">
        <v>2074</v>
      </c>
    </row>
    <row r="394" spans="1:19" ht="16" thickBot="1" x14ac:dyDescent="0.4">
      <c r="B394" s="88" t="s">
        <v>1537</v>
      </c>
      <c r="F394" s="120" t="s">
        <v>1540</v>
      </c>
      <c r="J394" s="120" t="s">
        <v>1542</v>
      </c>
    </row>
    <row r="395" spans="1:19" ht="16.5" thickTop="1" thickBot="1" x14ac:dyDescent="0.4">
      <c r="B395" s="76" t="str">
        <f ca="1">[1]!std_ans($C$395)</f>
        <v>E</v>
      </c>
      <c r="C395" s="79" t="str">
        <f ca="1" xml:space="preserve"> "/\" &amp;RANDBETWEEN( 1,120) &amp; "/\" &amp;RANDBETWEEN( 1,120) &amp; "/\" &amp;0.1 &amp; "/\" &amp; E390</f>
        <v>/\72/\79/\0.1/\0.0688259109311744</v>
      </c>
      <c r="D395" s="80" t="s">
        <v>1539</v>
      </c>
      <c r="F395" s="76" t="str">
        <f ca="1">[1]!alpha_ans($G$395)</f>
        <v>E</v>
      </c>
      <c r="G395" s="79" t="str">
        <f ca="1" xml:space="preserve"> "/\" &amp;RANDBETWEEN( 1,5) &amp; "/\" &amp;RANDBETWEEN( 1,120) &amp; "/\" &amp;RANDBETWEEN( 1,6) &amp; "/\" &amp;RANDBETWEEN( 1,2) &amp; "/\" &amp; P387 &amp; "/\" &amp; "Mask" &amp; "/\" &amp; "Mask" &amp; "/\" &amp; S387 &amp; "/\" &amp; S388</f>
        <v>/\5/\53/\4/\1/\67.35/\Mask/\Mask/\call exactly offsets losses on the put/\put exactly offsets losses on the call</v>
      </c>
      <c r="H395" s="80" t="s">
        <v>1541</v>
      </c>
      <c r="J395" s="76" t="str">
        <f ca="1">[1]!alpha_ans($K$395)</f>
        <v>E</v>
      </c>
      <c r="K395" s="79" t="str">
        <f ca="1" xml:space="preserve"> "/\" &amp;RANDBETWEEN( 1,5) &amp; "/\" &amp;RANDBETWEEN( 1,120) &amp; "/\" &amp;RANDBETWEEN( 1,6) &amp; "/\" &amp;RANDBETWEEN( 1,2) &amp; "/\" &amp; P389 &amp; "/\" &amp; "Mask" &amp; "/\" &amp; "Mask" &amp; "/\" &amp; S389 &amp; "/\" &amp; S390</f>
        <v>/\5/\103/\1/\2/\67.9675/\Mask/\Mask/\call profits exceed put/\put profits exceed call</v>
      </c>
      <c r="L395" s="80" t="s">
        <v>1543</v>
      </c>
    </row>
    <row r="396" spans="1:19" ht="16" thickTop="1" x14ac:dyDescent="0.35">
      <c r="B396" s="92">
        <f ca="1">[1]!stdnum_A($C$395)</f>
        <v>5.1709925568125009E-2</v>
      </c>
      <c r="C396" s="82"/>
      <c r="D396" s="77"/>
      <c r="F396" s="129">
        <f ca="1">[1]!onepair_A($G$395)</f>
        <v>77.452500000000001</v>
      </c>
      <c r="G396" s="82" t="str">
        <f ca="1">[1]!onepair_A2($G$395)</f>
        <v>put exactly offsets losses on the call</v>
      </c>
      <c r="H396" s="77"/>
      <c r="J396" s="96">
        <f ca="1">[1]!onepair_A($K$395)</f>
        <v>89.887018749999996</v>
      </c>
      <c r="K396" s="82" t="str">
        <f ca="1">[1]!onepair_A2($K$395)</f>
        <v>put profits exceed call</v>
      </c>
      <c r="L396" s="77"/>
    </row>
    <row r="397" spans="1:19" x14ac:dyDescent="0.35">
      <c r="B397" s="92">
        <f ca="1">[1]!stdnum_B($C$395)</f>
        <v>7.5708502024291857E-2</v>
      </c>
      <c r="C397" s="82"/>
      <c r="D397" s="77"/>
      <c r="F397" s="129">
        <f ca="1">[1]!onepair_B($G$395)</f>
        <v>67.349999999999994</v>
      </c>
      <c r="G397" s="82" t="str">
        <f ca="1">[1]!onepair_B2($G$395)</f>
        <v>put exactly offsets losses on the call</v>
      </c>
      <c r="H397" s="77"/>
      <c r="J397" s="96">
        <f ca="1">[1]!onepair_B($K$395)</f>
        <v>78.162625000000006</v>
      </c>
      <c r="K397" s="82" t="str">
        <f ca="1">[1]!onepair_B2($K$395)</f>
        <v>call profits exceed put</v>
      </c>
      <c r="L397" s="77"/>
    </row>
    <row r="398" spans="1:19" x14ac:dyDescent="0.35">
      <c r="B398" s="92">
        <f ca="1">[1]!stdnum_C($C$395)</f>
        <v>6.256900993743128E-2</v>
      </c>
      <c r="C398" s="82"/>
      <c r="D398" s="77"/>
      <c r="F398" s="129">
        <f ca="1">[1]!onepair_C($G$395)</f>
        <v>58.565217391304401</v>
      </c>
      <c r="G398" s="82" t="str">
        <f ca="1">[1]!onepair_C2($G$395)</f>
        <v>put exactly offsets losses on the call</v>
      </c>
      <c r="H398" s="77"/>
      <c r="J398" s="96">
        <f ca="1">[1]!onepair_C($K$395)</f>
        <v>67.967500000000001</v>
      </c>
      <c r="K398" s="82" t="str">
        <f ca="1">[1]!onepair_C2($K$395)</f>
        <v>put profits exceed call</v>
      </c>
      <c r="L398" s="77"/>
    </row>
    <row r="399" spans="1:19" x14ac:dyDescent="0.35">
      <c r="B399" s="92">
        <f ca="1">[1]!stdnum_D($C$395)</f>
        <v>5.6880918124937521E-2</v>
      </c>
      <c r="C399" s="82"/>
      <c r="D399" s="77"/>
      <c r="F399" s="129">
        <f ca="1">[1]!onepair_D($G$395)</f>
        <v>77.452500000000001</v>
      </c>
      <c r="G399" s="82" t="str">
        <f ca="1">[1]!onepair_D2($G$395)</f>
        <v>call exactly offsets losses on the put</v>
      </c>
      <c r="H399" s="77"/>
      <c r="J399" s="96">
        <f ca="1">[1]!onepair_D($K$395)</f>
        <v>78.162625000000006</v>
      </c>
      <c r="K399" s="82" t="str">
        <f ca="1">[1]!onepair_D2($K$395)</f>
        <v>put profits exceed call</v>
      </c>
      <c r="L399" s="77"/>
    </row>
    <row r="400" spans="1:19" ht="16" thickBot="1" x14ac:dyDescent="0.4">
      <c r="B400" s="93">
        <f ca="1">[1]!stdnum_E($C$395)</f>
        <v>6.8825910931174406E-2</v>
      </c>
      <c r="C400" s="84"/>
      <c r="D400" s="78"/>
      <c r="F400" s="130">
        <f ca="1">[1]!onepair_E($G$395)</f>
        <v>67.349999999999994</v>
      </c>
      <c r="G400" s="84" t="str">
        <f ca="1">[1]!onepair_E2($G$395)</f>
        <v>call exactly offsets losses on the put</v>
      </c>
      <c r="H400" s="78"/>
      <c r="J400" s="97">
        <f ca="1">[1]!onepair_E($K$395)</f>
        <v>67.967500000000001</v>
      </c>
      <c r="K400" s="84" t="str">
        <f ca="1">[1]!onepair_E2($K$395)</f>
        <v>call profits exceed put</v>
      </c>
      <c r="L400" s="78"/>
    </row>
    <row r="401" spans="1:11" ht="16" thickTop="1" x14ac:dyDescent="0.35"/>
    <row r="403" spans="1:11" x14ac:dyDescent="0.35">
      <c r="A403" s="120" t="s">
        <v>3766</v>
      </c>
    </row>
    <row r="404" spans="1:11" x14ac:dyDescent="0.35">
      <c r="A404" s="26">
        <f ca="1">ROUND((IF(RANDBETWEEN(0,1)=0,1/1.2,1.2))*A405,2)</f>
        <v>36</v>
      </c>
      <c r="B404" s="2" t="s">
        <v>2259</v>
      </c>
      <c r="D404" s="27">
        <f ca="1">A405-A408</f>
        <v>22.3</v>
      </c>
      <c r="E404" s="2" t="s">
        <v>2257</v>
      </c>
      <c r="H404" s="2" t="s">
        <v>30</v>
      </c>
      <c r="I404" s="2" t="str">
        <f ca="1">"When the price of crude at expiry is less than $"&amp;ROUND(D404,2)&amp;" then the gains from the put exceed the losses from the call"</f>
        <v>When the price of crude at expiry is less than $22.3 then the gains from the put exceed the losses from the call</v>
      </c>
      <c r="J404" s="2" t="s">
        <v>1105</v>
      </c>
      <c r="K404" s="2" t="str">
        <f ca="1">"When the price of crude at expiry is less than $"&amp;ROUND(D404,2)&amp;" then the losses from the put exceed the gains from the call"</f>
        <v>When the price of crude at expiry is less than $22.3 then the losses from the put exceed the gains from the call</v>
      </c>
    </row>
    <row r="405" spans="1:11" x14ac:dyDescent="0.35">
      <c r="A405" s="4">
        <f ca="1">MROUND(RANDBETWEEN(15,40),5)</f>
        <v>30</v>
      </c>
      <c r="B405" s="2" t="s">
        <v>3264</v>
      </c>
      <c r="D405" s="27">
        <f ca="1">A405+A408</f>
        <v>37.700000000000003</v>
      </c>
      <c r="E405" s="2" t="s">
        <v>2258</v>
      </c>
      <c r="H405" s="2" t="s">
        <v>1573</v>
      </c>
      <c r="I405" s="2" t="str">
        <f ca="1">"The straddle makes money whenever the price of crude at expiry exceeds $"&amp;ROUND(D405,2)</f>
        <v>The straddle makes money whenever the price of crude at expiry exceeds $37.7</v>
      </c>
      <c r="J405" s="2" t="s">
        <v>1607</v>
      </c>
      <c r="K405" s="2" t="str">
        <f ca="1">"The straddle makes money whenever the price of crude at expiry exceeds $"&amp;ROUND(D404,2)</f>
        <v>The straddle makes money whenever the price of crude at expiry exceeds $22.3</v>
      </c>
    </row>
    <row r="406" spans="1:11" x14ac:dyDescent="0.35">
      <c r="A406" s="26">
        <f ca="1">MAX(0,A404-A405)+MROUND(RANDBETWEEN(50,150)/100,0.05)</f>
        <v>7</v>
      </c>
      <c r="B406" s="2" t="s">
        <v>967</v>
      </c>
      <c r="H406" s="2" t="s">
        <v>2352</v>
      </c>
      <c r="I406" s="2" t="str">
        <f ca="1">"The only way the straddle loses money is if the price of crude at expiry is between $"&amp;ROUND(D404,2)&amp;" and $"&amp;ROUND(D405,2)</f>
        <v>The only way the straddle loses money is if the price of crude at expiry is between $22.3 and $37.7</v>
      </c>
      <c r="J406" s="2" t="s">
        <v>3406</v>
      </c>
      <c r="K406" s="2" t="str">
        <f ca="1">"The only way the straddle loses money is if the price of crude at expiry is between $"&amp;ROUND(D404,2)&amp;" and $"&amp;ROUND((1+RANDBETWEEN(16,25)/100)^(IF(RANDBETWEEN(0,1)=0,1,-1))*D405,2)</f>
        <v>The only way the straddle loses money is if the price of crude at expiry is between $22.3 and $30.65</v>
      </c>
    </row>
    <row r="407" spans="1:11" x14ac:dyDescent="0.35">
      <c r="A407" s="26">
        <f ca="1">MAX(0,A405-A404)+MROUND(RANDBETWEEN(50,150)/100,0.05)</f>
        <v>0.70000000000000007</v>
      </c>
      <c r="B407" s="2" t="s">
        <v>698</v>
      </c>
      <c r="H407" s="2" t="s">
        <v>3408</v>
      </c>
      <c r="I407" s="2" t="str">
        <f ca="1">"The straddle makes money whenever the price of crude at expiry is less than $"&amp;ROUND(D404,2)</f>
        <v>The straddle makes money whenever the price of crude at expiry is less than $22.3</v>
      </c>
      <c r="J407" s="2" t="s">
        <v>3410</v>
      </c>
      <c r="K407" s="2" t="str">
        <f ca="1">"The straddle makes money whenever the price of crude at expiry is less than $"&amp;ROUND(D405,2)</f>
        <v>The straddle makes money whenever the price of crude at expiry is less than $37.7</v>
      </c>
    </row>
    <row r="408" spans="1:11" x14ac:dyDescent="0.35">
      <c r="A408" s="181">
        <f ca="1">A407+A406</f>
        <v>7.7</v>
      </c>
      <c r="B408" s="2" t="s">
        <v>2619</v>
      </c>
      <c r="H408" s="2" t="s">
        <v>2605</v>
      </c>
      <c r="I408" s="2" t="str">
        <f ca="1">"When the price of crude at expiry exceeds $"&amp;ROUND(D405,2)&amp;" gains from the call exceed the losses from the put"</f>
        <v>When the price of crude at expiry exceeds $37.7 gains from the call exceed the losses from the put</v>
      </c>
      <c r="J408" s="2" t="s">
        <v>2606</v>
      </c>
      <c r="K408" s="2" t="str">
        <f ca="1">"When the price of crude at expiry exceeds $"&amp;ROUND(D405,2)&amp;" losses from the call exceed the gains from the put"</f>
        <v>When the price of crude at expiry exceeds $37.7 losses from the call exceed the gains from the put</v>
      </c>
    </row>
    <row r="409" spans="1:11" ht="16" thickBot="1" x14ac:dyDescent="0.4"/>
    <row r="410" spans="1:11" ht="16.5" thickTop="1" thickBot="1" x14ac:dyDescent="0.4">
      <c r="B410" s="76" t="str">
        <f ca="1">[1]!alpha_ans($C$410)</f>
        <v>C</v>
      </c>
      <c r="C410" s="79" t="str">
        <f ca="1" xml:space="preserve"> "/\" &amp;RANDBETWEEN( 1,5) &amp; "/\" &amp;RANDBETWEEN( 1,120) &amp; "/\" &amp;I404 &amp; "/\" &amp; K404 &amp; "/\" &amp; I405 &amp; "/\" &amp; K405 &amp; "/\" &amp; I406 &amp; "/\" &amp; K406 &amp; "/\" &amp; I407 &amp; "/\" &amp; K407 &amp; "/\" &amp; I408 &amp; "/\" &amp; K408</f>
        <v>/\3/\10/\When the price of crude at expiry is less than $22.3 then the gains from the put exceed the losses from the call/\When the price of crude at expiry is less than $22.3 then the losses from the put exceed the gains from the call/\The straddle makes money whenever the price of crude at expiry exceeds $37.7/\The straddle makes money whenever the price of crude at expiry exceeds $22.3/\The only way the straddle loses money is if the price of crude at expiry is between $22.3 and $37.7/\The only way the straddle loses money is if the price of crude at expiry is between $22.3 and $30.65/\The straddle makes money whenever the price of crude at expiry is less than $22.3/\The straddle makes money whenever the price of crude at expiry is less than $37.7/\When the price of crude at expiry exceeds $37.7 gains from the call exceed the losses from the put/\When the price of crude at expiry exceeds $37.7 losses from the call exceed the gains from the put</v>
      </c>
      <c r="D410" s="80" t="s">
        <v>2371</v>
      </c>
    </row>
    <row r="411" spans="1:11" ht="16" thickTop="1" x14ac:dyDescent="0.35">
      <c r="B411" s="81" t="str">
        <f ca="1">[1]!standardV_A($C$410)</f>
        <v>When the price of crude at expiry is less than $22.3 then the losses from the put exceed the gains from the call</v>
      </c>
      <c r="C411" s="82"/>
      <c r="D411" s="77"/>
    </row>
    <row r="412" spans="1:11" x14ac:dyDescent="0.35">
      <c r="B412" s="81" t="str">
        <f ca="1">[1]!standardV_B($C$410)</f>
        <v>The only way the straddle loses money is if the price of crude at expiry is between $22.3 and $30.65</v>
      </c>
      <c r="C412" s="82"/>
      <c r="D412" s="77"/>
    </row>
    <row r="413" spans="1:11" x14ac:dyDescent="0.35">
      <c r="B413" s="81" t="str">
        <f ca="1">[1]!standardV_C($C$410)</f>
        <v>The straddle makes money whenever the price of crude at expiry is less than $22.3</v>
      </c>
      <c r="C413" s="82"/>
      <c r="D413" s="77"/>
    </row>
    <row r="414" spans="1:11" x14ac:dyDescent="0.35">
      <c r="B414" s="81" t="str">
        <f ca="1">[1]!standardV_D($C$410)</f>
        <v>When the price of crude at expiry exceeds $37.7 losses from the call exceed the gains from the put</v>
      </c>
      <c r="C414" s="82"/>
      <c r="D414" s="77"/>
    </row>
    <row r="415" spans="1:11" ht="16" thickBot="1" x14ac:dyDescent="0.4">
      <c r="B415" s="83" t="str">
        <f ca="1">[1]!standardV_E($C$410)</f>
        <v>The straddle makes money whenever the price of crude at expiry exceeds $22.3</v>
      </c>
      <c r="C415" s="84"/>
      <c r="D415" s="78"/>
    </row>
    <row r="416" spans="1:11" ht="16" thickTop="1" x14ac:dyDescent="0.35"/>
    <row r="418" spans="1:9" x14ac:dyDescent="0.35">
      <c r="A418" s="88" t="s">
        <v>2372</v>
      </c>
    </row>
    <row r="419" spans="1:9" x14ac:dyDescent="0.35">
      <c r="A419" s="283">
        <f ca="1">100*RANDBETWEEN(8,20)</f>
        <v>1400</v>
      </c>
      <c r="B419" s="2" t="s">
        <v>2236</v>
      </c>
      <c r="E419" s="2">
        <f ca="1">A419*A422</f>
        <v>91000</v>
      </c>
      <c r="F419" s="2" t="s">
        <v>1462</v>
      </c>
      <c r="I419" s="2" t="str">
        <f ca="1">"The best-case outcome is that in 8 months the stocks become worth $" &amp; E419</f>
        <v>The best-case outcome is that in 8 months the stocks become worth $91000</v>
      </c>
    </row>
    <row r="420" spans="1:9" x14ac:dyDescent="0.35">
      <c r="A420" s="26">
        <f ca="1">RANDBETWEEN(60,120)/2</f>
        <v>54</v>
      </c>
      <c r="B420" s="2" t="s">
        <v>873</v>
      </c>
      <c r="E420" s="2">
        <f ca="1">A419*A421</f>
        <v>84000</v>
      </c>
      <c r="F420" s="2" t="s">
        <v>1463</v>
      </c>
      <c r="I420" s="2" t="str">
        <f ca="1">"The best-case outcome is that in 8 months the stocks become worth $" &amp; E420</f>
        <v>The best-case outcome is that in 8 months the stocks become worth $84000</v>
      </c>
    </row>
    <row r="421" spans="1:9" x14ac:dyDescent="0.35">
      <c r="A421" s="4">
        <f ca="1">CHOOSE(RANDBETWEEN(1,2),MROUND(A420,5),MROUND(A420+5,5))</f>
        <v>60</v>
      </c>
      <c r="B421" s="2" t="s">
        <v>874</v>
      </c>
      <c r="E421" s="10">
        <f ca="1">ABS(A419*(A423-A424))</f>
        <v>8750</v>
      </c>
      <c r="F421" s="2" t="s">
        <v>1464</v>
      </c>
      <c r="G421" s="2" t="str">
        <f ca="1">IF(A424&lt;A423,"outflow","inflow")</f>
        <v>outflow</v>
      </c>
      <c r="H421" s="2" t="str">
        <f ca="1">IF(A424&gt;A423,"outflow","inflow")</f>
        <v>inflow</v>
      </c>
    </row>
    <row r="422" spans="1:9" x14ac:dyDescent="0.35">
      <c r="A422" s="4">
        <f ca="1">A421+5*RANDBETWEEN(1,2)</f>
        <v>65</v>
      </c>
      <c r="B422" s="2" t="s">
        <v>875</v>
      </c>
      <c r="I422" s="2" t="str">
        <f ca="1">"The worst-case outcome is that in 8 months the stocks become worth $" &amp; E420</f>
        <v>The worst-case outcome is that in 8 months the stocks become worth $84000</v>
      </c>
    </row>
    <row r="423" spans="1:9" x14ac:dyDescent="0.35">
      <c r="A423" s="26">
        <f ca="1">RANDBETWEEN(12,20)*0.25+IF(A421-A420&gt;0,A421-A420,0)</f>
        <v>10.25</v>
      </c>
      <c r="B423" s="2" t="s">
        <v>876</v>
      </c>
      <c r="I423" s="2" t="str">
        <f ca="1">"The worst-case outcome is that in 8 months the stocks become worth $" &amp; E419</f>
        <v>The worst-case outcome is that in 8 months the stocks become worth $91000</v>
      </c>
    </row>
    <row r="424" spans="1:9" x14ac:dyDescent="0.35">
      <c r="A424" s="26">
        <f ca="1">IF(C424&lt;&gt;A423,C424,C424+0.5*(IF(RANDBETWEEN(0,1)=0,1,-1)))</f>
        <v>4</v>
      </c>
      <c r="B424" s="2" t="s">
        <v>877</v>
      </c>
      <c r="C424" s="26">
        <f ca="1">RANDBETWEEN(12,20)*0.25+IF(A420-A422&gt;0,A420-A422,0)</f>
        <v>4</v>
      </c>
    </row>
    <row r="425" spans="1:9" ht="16" thickBot="1" x14ac:dyDescent="0.4">
      <c r="I425" s="2" t="str">
        <f ca="1">"The initial cash flow from entering the collar today is a cash " &amp; G421 &amp; " of $" &amp; E421</f>
        <v>The initial cash flow from entering the collar today is a cash outflow of $8750</v>
      </c>
    </row>
    <row r="426" spans="1:9" ht="16.5" thickTop="1" thickBot="1" x14ac:dyDescent="0.4">
      <c r="B426" s="76" t="str">
        <f ca="1">[1]!alpha_ans($C$426)</f>
        <v>C</v>
      </c>
      <c r="C426" s="79" t="str">
        <f ca="1" xml:space="preserve"> "/\" &amp;RANDBETWEEN( 1,5) &amp; "/\" &amp;RANDBETWEEN( 1,3) &amp; "/\" &amp;RANDBETWEEN( 1,2) &amp; "/\" &amp;I419 &amp; "/\" &amp;I420 &amp; "/\" &amp; I422 &amp; "/\" &amp; I423 &amp; "/\" &amp; I425 &amp; "/\" &amp; I426</f>
        <v>/\3/\1/\1/\The best-case outcome is that in 8 months the stocks become worth $91000/\The best-case outcome is that in 8 months the stocks become worth $84000/\The worst-case outcome is that in 8 months the stocks become worth $84000/\The worst-case outcome is that in 8 months the stocks become worth $91000/\The initial cash flow from entering the collar today is a cash outflow of $8750/\The initial cash flow from entering the collar today is a cash inflow of $8750</v>
      </c>
      <c r="D426" s="80" t="s">
        <v>3057</v>
      </c>
      <c r="I426" s="2" t="str">
        <f ca="1">"The initial cash flow from entering the collar today is a cash " &amp; H421 &amp; " of $" &amp; E421</f>
        <v>The initial cash flow from entering the collar today is a cash inflow of $8750</v>
      </c>
    </row>
    <row r="427" spans="1:9" ht="16" thickTop="1" x14ac:dyDescent="0.35">
      <c r="B427" s="81" t="str">
        <f ca="1">[1]!complexV_A($C$426)</f>
        <v>The best-case outcome is that in 8 months the stocks become worth $84000</v>
      </c>
      <c r="C427" s="82"/>
      <c r="D427" s="77"/>
    </row>
    <row r="428" spans="1:9" x14ac:dyDescent="0.35">
      <c r="B428" s="81" t="str">
        <f ca="1">[1]!complexV_B($C$426)</f>
        <v>The worst-case outcome is that in 8 months the stocks become worth $91000</v>
      </c>
      <c r="C428" s="82"/>
      <c r="D428" s="77"/>
    </row>
    <row r="429" spans="1:9" x14ac:dyDescent="0.35">
      <c r="B429" s="81" t="str">
        <f ca="1">[1]!complexV_C($C$426)</f>
        <v>The initial cash flow from entering the collar today is a cash outflow of $8750</v>
      </c>
      <c r="C429" s="82"/>
      <c r="D429" s="77"/>
    </row>
    <row r="430" spans="1:9" x14ac:dyDescent="0.35">
      <c r="B430" s="81" t="str">
        <f ca="1">[1]!complexV_D($C$426)</f>
        <v>Two choices, A and B, are correct</v>
      </c>
      <c r="C430" s="82"/>
      <c r="D430" s="77"/>
    </row>
    <row r="431" spans="1:9" ht="16" thickBot="1" x14ac:dyDescent="0.4">
      <c r="B431" s="83" t="str">
        <f ca="1">[1]!complexV_E($C$426)</f>
        <v>The three A-B-C choices are all correct</v>
      </c>
      <c r="C431" s="84"/>
      <c r="D431" s="78"/>
    </row>
    <row r="432" spans="1:9" ht="16" thickTop="1" x14ac:dyDescent="0.35"/>
    <row r="434" spans="1:6" x14ac:dyDescent="0.35">
      <c r="A434" s="88" t="s">
        <v>1046</v>
      </c>
    </row>
    <row r="435" spans="1:6" x14ac:dyDescent="0.35">
      <c r="A435" s="13">
        <f ca="1">RANDBETWEEN(8,20)*2.5</f>
        <v>22.5</v>
      </c>
      <c r="B435" s="2" t="s">
        <v>3815</v>
      </c>
      <c r="E435" s="14">
        <f ca="1">(A435+A438)/(A436-A437)-1</f>
        <v>0.61564625850340149</v>
      </c>
      <c r="F435" s="2" t="s">
        <v>1044</v>
      </c>
    </row>
    <row r="436" spans="1:6" x14ac:dyDescent="0.35">
      <c r="A436" s="27">
        <f ca="1">MROUND(A435*MIN(vMask20, 1/vMask20),0.05)</f>
        <v>18</v>
      </c>
      <c r="B436" s="2" t="s">
        <v>1414</v>
      </c>
    </row>
    <row r="437" spans="1:6" x14ac:dyDescent="0.35">
      <c r="A437" s="13">
        <f ca="1">RANDBETWEEN(22,56)/10</f>
        <v>3.3</v>
      </c>
      <c r="B437" s="2" t="s">
        <v>410</v>
      </c>
    </row>
    <row r="438" spans="1:6" x14ac:dyDescent="0.35">
      <c r="A438" s="13">
        <f ca="1">MROUND(A436*RANDBETWEEN(4,10)/100,0.05)</f>
        <v>1.25</v>
      </c>
      <c r="B438" s="2" t="s">
        <v>3498</v>
      </c>
    </row>
    <row r="439" spans="1:6" ht="16" thickBot="1" x14ac:dyDescent="0.4">
      <c r="A439" s="12"/>
    </row>
    <row r="440" spans="1:6" ht="16.5" thickTop="1" thickBot="1" x14ac:dyDescent="0.4">
      <c r="B440" s="76" t="str">
        <f ca="1">[1]!std_ans($C$440)</f>
        <v>C</v>
      </c>
      <c r="C440" s="79" t="str">
        <f ca="1" xml:space="preserve"> "/\" &amp;RANDBETWEEN( 1,120) &amp; "/\" &amp;RANDBETWEEN( 1,120) &amp; "/\" &amp;0.1 &amp; "/\" &amp; E435</f>
        <v>/\32/\81/\0.1/\0.615646258503401</v>
      </c>
      <c r="D440" s="80" t="s">
        <v>1045</v>
      </c>
    </row>
    <row r="441" spans="1:6" ht="16" thickTop="1" x14ac:dyDescent="0.35">
      <c r="B441" s="92">
        <f ca="1">[1]!stdnum_A($C$440)</f>
        <v>0.50879856074661234</v>
      </c>
      <c r="C441" s="82"/>
      <c r="D441" s="77"/>
    </row>
    <row r="442" spans="1:6" x14ac:dyDescent="0.35">
      <c r="B442" s="92">
        <f ca="1">[1]!stdnum_B($C$440)</f>
        <v>0.55967841682127362</v>
      </c>
      <c r="C442" s="82"/>
      <c r="D442" s="77"/>
    </row>
    <row r="443" spans="1:6" x14ac:dyDescent="0.35">
      <c r="B443" s="92">
        <f ca="1">[1]!stdnum_C($C$440)</f>
        <v>0.61564625850340104</v>
      </c>
      <c r="C443" s="82"/>
      <c r="D443" s="77"/>
    </row>
    <row r="444" spans="1:6" x14ac:dyDescent="0.35">
      <c r="B444" s="92">
        <f ca="1">[1]!stdnum_D($C$440)</f>
        <v>0.67721088435374122</v>
      </c>
      <c r="C444" s="82"/>
      <c r="D444" s="77"/>
    </row>
    <row r="445" spans="1:6" ht="16" thickBot="1" x14ac:dyDescent="0.4">
      <c r="B445" s="93">
        <f ca="1">[1]!stdnum_E($C$440)</f>
        <v>0.46254414613328387</v>
      </c>
      <c r="C445" s="84"/>
      <c r="D445" s="78"/>
    </row>
    <row r="446" spans="1:6" ht="16" thickTop="1" x14ac:dyDescent="0.35"/>
    <row r="448" spans="1:6" x14ac:dyDescent="0.35">
      <c r="A448" s="88" t="s">
        <v>1047</v>
      </c>
    </row>
    <row r="449" spans="1:6" x14ac:dyDescent="0.35">
      <c r="A449" s="173">
        <f ca="1">RANDBETWEEN(200,300)</f>
        <v>254</v>
      </c>
      <c r="B449" s="2" t="s">
        <v>3815</v>
      </c>
      <c r="E449" s="8">
        <f ca="1">A452*(A450-(A449+A451)/100)</f>
        <v>1790.0000000000027</v>
      </c>
      <c r="F449" s="2" t="s">
        <v>1049</v>
      </c>
    </row>
    <row r="450" spans="1:6" x14ac:dyDescent="0.35">
      <c r="A450" s="27">
        <f ca="1">MROUND(A449*MAX(vMask20, 1/vMask20)/100,0.05)</f>
        <v>3.1500000000000004</v>
      </c>
      <c r="B450" s="2" t="s">
        <v>1048</v>
      </c>
    </row>
    <row r="451" spans="1:6" x14ac:dyDescent="0.35">
      <c r="A451" s="335">
        <f ca="1">RANDBETWEEN(20,300)/10</f>
        <v>25.2</v>
      </c>
      <c r="B451" s="2" t="s">
        <v>410</v>
      </c>
    </row>
    <row r="452" spans="1:6" x14ac:dyDescent="0.35">
      <c r="A452" s="2">
        <v>5000</v>
      </c>
      <c r="B452" s="2" t="s">
        <v>1940</v>
      </c>
    </row>
    <row r="453" spans="1:6" ht="16" thickBot="1" x14ac:dyDescent="0.4"/>
    <row r="454" spans="1:6" ht="16.5" thickTop="1" thickBot="1" x14ac:dyDescent="0.4">
      <c r="B454" s="76" t="str">
        <f ca="1">[1]!std_ans($C$454)</f>
        <v>C</v>
      </c>
      <c r="C454" s="79" t="str">
        <f ca="1" xml:space="preserve"> "/\" &amp;RANDBETWEEN( 1,120) &amp; "/\" &amp;RANDBETWEEN( 1,120) &amp; "/\" &amp;0.1 &amp; "/\" &amp; E449</f>
        <v>/\44/\84/\0.1/\1790</v>
      </c>
      <c r="D454" s="80" t="s">
        <v>1050</v>
      </c>
    </row>
    <row r="455" spans="1:6" ht="16" thickTop="1" x14ac:dyDescent="0.35">
      <c r="B455" s="101">
        <f ca="1">[1]!stdnum_A($C$454)</f>
        <v>1479.3388429752065</v>
      </c>
      <c r="C455" s="82"/>
      <c r="D455" s="77"/>
    </row>
    <row r="456" spans="1:6" x14ac:dyDescent="0.35">
      <c r="B456" s="101">
        <f ca="1">[1]!stdnum_B($C$454)</f>
        <v>1344.8534936138237</v>
      </c>
      <c r="C456" s="82"/>
      <c r="D456" s="77"/>
    </row>
    <row r="457" spans="1:6" x14ac:dyDescent="0.35">
      <c r="B457" s="101">
        <f ca="1">[1]!stdnum_C($C$454)</f>
        <v>1790</v>
      </c>
      <c r="C457" s="82"/>
      <c r="D457" s="77"/>
    </row>
    <row r="458" spans="1:6" x14ac:dyDescent="0.35">
      <c r="B458" s="101">
        <f ca="1">[1]!stdnum_D($C$454)</f>
        <v>1627.2727272727273</v>
      </c>
      <c r="C458" s="82"/>
      <c r="D458" s="77"/>
    </row>
    <row r="459" spans="1:6" ht="16" thickBot="1" x14ac:dyDescent="0.4">
      <c r="B459" s="102">
        <f ca="1">[1]!stdnum_E($C$454)</f>
        <v>1969.0000000000002</v>
      </c>
      <c r="C459" s="84"/>
      <c r="D459" s="78"/>
    </row>
    <row r="460" spans="1:6" ht="16" thickTop="1" x14ac:dyDescent="0.35"/>
    <row r="462" spans="1:6" ht="16" thickBot="1" x14ac:dyDescent="0.4">
      <c r="A462" s="88" t="s">
        <v>1968</v>
      </c>
    </row>
    <row r="463" spans="1:6" ht="16.5" thickTop="1" thickBot="1" x14ac:dyDescent="0.4">
      <c r="B463" s="76" t="str">
        <f ca="1">[1]!alpha_ans($C$463)</f>
        <v>D</v>
      </c>
      <c r="C463" s="79" t="str">
        <f ca="1" xml:space="preserve"> "/\" &amp;RANDBETWEEN( 1,5) &amp; "/\" &amp;RANDBETWEEN( 1,3) &amp; "/\" &amp;RANDBETWEEN( 1,2) &amp; "/\" &amp;"line XX is a profit profile for a long put option position" &amp; "/\" &amp; "line XX is a profit profile for a short put option position" &amp; "/\" &amp; "line YYis a profit profile for a long straddle position" &amp; "/\" &amp; "line YY is a profit profile for a collar position" &amp; "/\" &amp; "line ZZ is a profit profile for a long call option position" &amp; "/\" &amp; "line ZZ is a profit profile for a short call option position"</f>
        <v>/\4/\1/\1/\line XX is a profit profile for a long put option position/\line XX is a profit profile for a short put option position/\line YYis a profit profile for a long straddle position/\line YY is a profit profile for a collar position/\line ZZ is a profit profile for a long call option position/\line ZZ is a profit profile for a short call option position</v>
      </c>
      <c r="D463" s="80" t="s">
        <v>1967</v>
      </c>
    </row>
    <row r="464" spans="1:6" ht="16" thickTop="1" x14ac:dyDescent="0.35">
      <c r="B464" s="81" t="str">
        <f ca="1">[1]!complexV_A($C$463)</f>
        <v>line XX is a profit profile for a long put option position</v>
      </c>
      <c r="C464" s="82"/>
      <c r="D464" s="77"/>
    </row>
    <row r="465" spans="1:11" x14ac:dyDescent="0.35">
      <c r="B465" s="81" t="str">
        <f ca="1">[1]!complexV_B($C$463)</f>
        <v>line YYis a profit profile for a long straddle position</v>
      </c>
      <c r="C465" s="82"/>
      <c r="D465" s="77"/>
    </row>
    <row r="466" spans="1:11" x14ac:dyDescent="0.35">
      <c r="B466" s="81" t="str">
        <f ca="1">[1]!complexV_C($C$463)</f>
        <v>line ZZ is a profit profile for a short call option position</v>
      </c>
      <c r="C466" s="82"/>
      <c r="D466" s="77"/>
    </row>
    <row r="467" spans="1:11" x14ac:dyDescent="0.35">
      <c r="B467" s="81" t="str">
        <f ca="1">[1]!complexV_D($C$463)</f>
        <v>Two choices, A and B, are correct</v>
      </c>
      <c r="C467" s="82"/>
      <c r="D467" s="77"/>
    </row>
    <row r="468" spans="1:11" ht="16" thickBot="1" x14ac:dyDescent="0.4">
      <c r="B468" s="83" t="str">
        <f ca="1">[1]!complexV_E($C$463)</f>
        <v>The three A-B-C choices are all correct</v>
      </c>
      <c r="C468" s="84"/>
      <c r="D468" s="78"/>
    </row>
    <row r="469" spans="1:11" ht="16" thickTop="1" x14ac:dyDescent="0.35"/>
    <row r="471" spans="1:11" x14ac:dyDescent="0.35">
      <c r="A471" s="120" t="s">
        <v>1484</v>
      </c>
    </row>
    <row r="472" spans="1:11" x14ac:dyDescent="0.35">
      <c r="A472" s="370">
        <f ca="1">RANDBETWEEN(3,8)*25000</f>
        <v>175000</v>
      </c>
      <c r="B472" s="2" t="s">
        <v>1940</v>
      </c>
      <c r="D472" s="381">
        <f ca="1">A473/100-D475</f>
        <v>0.94300000000000006</v>
      </c>
      <c r="E472" s="2" t="s">
        <v>2257</v>
      </c>
      <c r="H472" s="2" t="s">
        <v>30</v>
      </c>
      <c r="I472" s="2" t="str">
        <f ca="1">"The initial cost of entering the straddle is $" &amp; ROUND(A476,0)</f>
        <v>The initial cost of entering the straddle is $2450</v>
      </c>
      <c r="J472" s="2" t="s">
        <v>1105</v>
      </c>
      <c r="K472" s="2" t="str">
        <f ca="1">"The initial cost of entering the straddle is $" &amp; ROUND(A476*(1+RANDBETWEEN(16,25)/100)^(IF(RANDBETWEEN(0,1)=0,1,-1)),-2)</f>
        <v>The initial cost of entering the straddle is $2100</v>
      </c>
    </row>
    <row r="473" spans="1:11" x14ac:dyDescent="0.35">
      <c r="A473" s="115">
        <f ca="1">RANDBETWEEN(150,700)*3/10</f>
        <v>95.7</v>
      </c>
      <c r="B473" s="2" t="s">
        <v>3264</v>
      </c>
      <c r="D473" s="381">
        <f ca="1">A473/100+D475</f>
        <v>0.97100000000000009</v>
      </c>
      <c r="E473" s="2" t="s">
        <v>2258</v>
      </c>
      <c r="H473" s="2" t="s">
        <v>1573</v>
      </c>
      <c r="I473" s="2" t="str">
        <f ca="1">"When price of the " &amp; J475 &amp; " at expiry is less than $" &amp; ROUND(D472,4) &amp; " then payoff on the put makes the straddle profitable."</f>
        <v>When price of the bhat at expiry is less than $0.943 then payoff on the put makes the straddle profitable.</v>
      </c>
      <c r="J473" s="2" t="s">
        <v>1607</v>
      </c>
      <c r="K473" s="2" t="str">
        <f ca="1">"When price of the " &amp; J475 &amp; " at expiry is less than $" &amp; ROUND(1.1*D472,3) &amp; " then payoff on the put makes the straddle profitable."</f>
        <v>When price of the bhat at expiry is less than $1.037 then payoff on the put makes the straddle profitable.</v>
      </c>
    </row>
    <row r="474" spans="1:11" x14ac:dyDescent="0.35">
      <c r="A474" s="238">
        <f ca="1">MROUND(RANDBETWEEN(50,150)/100,0.05)</f>
        <v>0.8</v>
      </c>
      <c r="B474" s="2" t="s">
        <v>967</v>
      </c>
      <c r="H474" s="2" t="s">
        <v>2352</v>
      </c>
      <c r="I474" s="2" t="str">
        <f ca="1">"When price of the " &amp; J475 &amp; " at expiry is greater than $" &amp; ROUND(D473,4) &amp; " then payoff on the call makes the straddle profitable."</f>
        <v>When price of the bhat at expiry is greater than $0.971 then payoff on the call makes the straddle profitable.</v>
      </c>
      <c r="J474" s="2" t="s">
        <v>3406</v>
      </c>
      <c r="K474" s="2" t="str">
        <f ca="1">"When price of the " &amp; J475 &amp; " at expiry is greater than $" &amp; ROUND(0.9*D473,3) &amp; " then payoff on the call makes the straddle profitable."</f>
        <v>When price of the bhat at expiry is greater than $0.874 then payoff on the call makes the straddle profitable.</v>
      </c>
    </row>
    <row r="475" spans="1:11" x14ac:dyDescent="0.35">
      <c r="A475" s="238">
        <f ca="1">MROUND(RANDBETWEEN(50,150)/100,0.05)</f>
        <v>0.60000000000000009</v>
      </c>
      <c r="B475" s="2" t="s">
        <v>698</v>
      </c>
      <c r="D475" s="2">
        <f ca="1">(A474+A475)/100</f>
        <v>1.4000000000000002E-2</v>
      </c>
      <c r="I475" s="6" t="s">
        <v>2691</v>
      </c>
      <c r="J475" s="2" t="str">
        <f ca="1">INDEX(I476:I480,RANDBETWEEN(1,5))</f>
        <v>bhat</v>
      </c>
    </row>
    <row r="476" spans="1:11" x14ac:dyDescent="0.35">
      <c r="A476" s="10">
        <f ca="1">A472*D475</f>
        <v>2450.0000000000005</v>
      </c>
      <c r="B476" s="2" t="s">
        <v>1482</v>
      </c>
      <c r="I476" s="4" t="s">
        <v>472</v>
      </c>
    </row>
    <row r="477" spans="1:11" ht="16" thickBot="1" x14ac:dyDescent="0.4">
      <c r="I477" s="4" t="s">
        <v>473</v>
      </c>
    </row>
    <row r="478" spans="1:11" ht="16.5" thickTop="1" thickBot="1" x14ac:dyDescent="0.4">
      <c r="B478" s="76" t="str">
        <f ca="1">[1]!alpha_ans($C$478)</f>
        <v>E</v>
      </c>
      <c r="C478" s="79" t="str">
        <f ca="1" xml:space="preserve"> "/\" &amp;RANDBETWEEN( 1,5) &amp; "/\" &amp;RANDBETWEEN( 1,3) &amp; "/\" &amp;RANDBETWEEN( 1,2) &amp; "/\" &amp;I472 &amp; "/\" &amp; K472 &amp; "/\" &amp; I473 &amp; "/\" &amp; K473 &amp; "/\" &amp; I474 &amp; "/\" &amp; K474</f>
        <v>/\5/\1/\1/\The initial cost of entering the straddle is $2450/\The initial cost of entering the straddle is $2100/\When price of the bhat at expiry is less than $0.943 then payoff on the put makes the straddle profitable./\When price of the bhat at expiry is less than $1.037 then payoff on the put makes the straddle profitable./\When price of the bhat at expiry is greater than $0.971 then payoff on the call makes the straddle profitable./\When price of the bhat at expiry is greater than $0.874 then payoff on the call makes the straddle profitable.</v>
      </c>
      <c r="D478" s="80" t="s">
        <v>1483</v>
      </c>
      <c r="I478" s="4" t="s">
        <v>2024</v>
      </c>
    </row>
    <row r="479" spans="1:11" ht="16" thickTop="1" x14ac:dyDescent="0.35">
      <c r="B479" s="81" t="str">
        <f ca="1">[1]!complexV_A($C$478)</f>
        <v>The initial cost of entering the straddle is $2450</v>
      </c>
      <c r="C479" s="82"/>
      <c r="D479" s="77"/>
      <c r="I479" s="4" t="s">
        <v>1725</v>
      </c>
    </row>
    <row r="480" spans="1:11" x14ac:dyDescent="0.35">
      <c r="B480" s="81" t="str">
        <f ca="1">[1]!complexV_B($C$478)</f>
        <v>When price of the bhat at expiry is less than $0.943 then payoff on the put makes the straddle profitable.</v>
      </c>
      <c r="C480" s="82"/>
      <c r="D480" s="77"/>
      <c r="I480" s="4" t="s">
        <v>1592</v>
      </c>
    </row>
    <row r="481" spans="2:4" x14ac:dyDescent="0.35">
      <c r="B481" s="81" t="str">
        <f ca="1">[1]!complexV_C($C$478)</f>
        <v>When price of the bhat at expiry is greater than $0.971 then payoff on the call makes the straddle profitable.</v>
      </c>
      <c r="C481" s="82"/>
      <c r="D481" s="77"/>
    </row>
    <row r="482" spans="2:4" x14ac:dyDescent="0.35">
      <c r="B482" s="81" t="str">
        <f ca="1">[1]!complexV_D($C$478)</f>
        <v>Two choices, A and B, are correct</v>
      </c>
      <c r="C482" s="82"/>
      <c r="D482" s="77"/>
    </row>
    <row r="483" spans="2:4" ht="16" thickBot="1" x14ac:dyDescent="0.4">
      <c r="B483" s="83" t="str">
        <f ca="1">[1]!complexV_E($C$478)</f>
        <v>The three A-B-C choices are all correct</v>
      </c>
      <c r="C483" s="84"/>
      <c r="D483" s="78"/>
    </row>
    <row r="484" spans="2:4" ht="16" thickTop="1" x14ac:dyDescent="0.35"/>
  </sheetData>
  <mergeCells count="4">
    <mergeCell ref="D298:E298"/>
    <mergeCell ref="H298:I298"/>
    <mergeCell ref="D351:E351"/>
    <mergeCell ref="G351:H351"/>
  </mergeCells>
  <phoneticPr fontId="0" type="noConversion"/>
  <pageMargins left="0.75" right="0.75" top="1" bottom="1" header="0.5" footer="0.5"/>
  <pageSetup orientation="portrait" horizontalDpi="96" verticalDpi="96"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0"/>
  <dimension ref="A10:P254"/>
  <sheetViews>
    <sheetView workbookViewId="0"/>
  </sheetViews>
  <sheetFormatPr defaultColWidth="10.58203125" defaultRowHeight="15.5" x14ac:dyDescent="0.35"/>
  <cols>
    <col min="1" max="16384" width="10.58203125" style="2"/>
  </cols>
  <sheetData>
    <row r="10" spans="1:8" x14ac:dyDescent="0.35">
      <c r="A10" s="88" t="s">
        <v>1588</v>
      </c>
    </row>
    <row r="11" spans="1:8" x14ac:dyDescent="0.35">
      <c r="A11" s="4" t="str">
        <f ca="1">INDEX(E12:E16,MID(F11,1,1))</f>
        <v>peso</v>
      </c>
      <c r="B11" s="2" t="s">
        <v>3651</v>
      </c>
      <c r="E11" s="6" t="s">
        <v>3153</v>
      </c>
      <c r="F11" s="62">
        <f ca="1">INDEX(TwoFromFive,RANDBETWEEN(1,20))</f>
        <v>35</v>
      </c>
      <c r="G11" s="114">
        <f ca="1">ROUND(A14/A13,4)</f>
        <v>1.3</v>
      </c>
      <c r="H11" s="2" t="s">
        <v>426</v>
      </c>
    </row>
    <row r="12" spans="1:8" x14ac:dyDescent="0.35">
      <c r="A12" s="4" t="str">
        <f ca="1">INDEX(E12:E16,MID(F11,2,1))</f>
        <v>ruble</v>
      </c>
      <c r="B12" s="2" t="s">
        <v>3652</v>
      </c>
      <c r="E12" s="2" t="s">
        <v>1592</v>
      </c>
      <c r="G12" s="114">
        <f ca="1">ROUND(G11*(1-H14*A16)/(1-H13*A15),4)</f>
        <v>1.6628000000000001</v>
      </c>
      <c r="H12" s="2" t="s">
        <v>2401</v>
      </c>
    </row>
    <row r="13" spans="1:8" x14ac:dyDescent="0.35">
      <c r="A13" s="115">
        <f ca="1">RANDBETWEEN(40,100)/10</f>
        <v>4.3</v>
      </c>
      <c r="B13" s="2" t="s">
        <v>3214</v>
      </c>
      <c r="E13" s="2" t="s">
        <v>2024</v>
      </c>
      <c r="H13" s="2">
        <f ca="1">(IF(RANDBETWEEN(0,1)=0,1,-1))</f>
        <v>1</v>
      </c>
    </row>
    <row r="14" spans="1:8" x14ac:dyDescent="0.35">
      <c r="A14" s="115">
        <f ca="1">ROUND((1+RANDBETWEEN(26,35)/100)^(IF(RANDBETWEEN(0,1)=0,1,-1))*A13,2)</f>
        <v>5.59</v>
      </c>
      <c r="B14" s="2" t="s">
        <v>3215</v>
      </c>
      <c r="E14" s="2" t="s">
        <v>472</v>
      </c>
      <c r="H14" s="2">
        <f ca="1">(IF(RANDBETWEEN(0,1)=0,1,-1))</f>
        <v>-1</v>
      </c>
    </row>
    <row r="15" spans="1:8" x14ac:dyDescent="0.35">
      <c r="A15" s="23">
        <f ca="1">RANDBETWEEN(4,15)/100</f>
        <v>0.14000000000000001</v>
      </c>
      <c r="B15" s="2" t="str">
        <f ca="1">IF(H13&lt;0,"appreciate","depreciate")</f>
        <v>depreciate</v>
      </c>
      <c r="C15" s="2" t="s">
        <v>3216</v>
      </c>
      <c r="E15" s="2" t="s">
        <v>1725</v>
      </c>
    </row>
    <row r="16" spans="1:8" x14ac:dyDescent="0.35">
      <c r="A16" s="23">
        <f ca="1">IF(B17=A15,A15+0.02*H13,B17)</f>
        <v>0.1</v>
      </c>
      <c r="B16" s="2" t="str">
        <f ca="1">IF(H14&lt;0,"appreciate","depreciate")</f>
        <v>appreciate</v>
      </c>
      <c r="C16" s="2" t="s">
        <v>3217</v>
      </c>
      <c r="E16" s="2" t="s">
        <v>2435</v>
      </c>
    </row>
    <row r="17" spans="1:9" x14ac:dyDescent="0.35">
      <c r="B17" s="114">
        <f ca="1">RANDBETWEEN(4,15)/100</f>
        <v>0.1</v>
      </c>
    </row>
    <row r="18" spans="1:9" ht="16" thickBot="1" x14ac:dyDescent="0.4"/>
    <row r="19" spans="1:9" ht="16.5" thickTop="1" thickBot="1" x14ac:dyDescent="0.4">
      <c r="B19" s="76" t="str">
        <f ca="1">[1]!alpha_ans($C$19)</f>
        <v>B</v>
      </c>
      <c r="C19" s="79" t="str">
        <f ca="1" xml:space="preserve"> "/\" &amp;RANDBETWEEN( 1,5) &amp; "/\" &amp;RANDBETWEEN( 1,120) &amp; "/\" &amp;RANDBETWEEN( 1,6) &amp; "/\" &amp;RANDBETWEEN( 1,2) &amp; "/\" &amp; G11 &amp; "/\" &amp; "Mask" &amp; "/\" &amp; "Mask" &amp; "/\" &amp; G12 &amp; "/\" &amp; "Mask"</f>
        <v>/\2/\63/\6/\2/\1.3/\Mask/\Mask/\1.6628/\Mask</v>
      </c>
      <c r="D19" s="80" t="s">
        <v>2402</v>
      </c>
    </row>
    <row r="20" spans="1:9" ht="16" thickTop="1" x14ac:dyDescent="0.35">
      <c r="B20" s="116">
        <f ca="1">[1]!onepair_A($C$19)</f>
        <v>1.1304347826087</v>
      </c>
      <c r="C20" s="117">
        <f ca="1">[1]!onepair_A2($C$19)</f>
        <v>1.91222</v>
      </c>
      <c r="D20" s="77"/>
    </row>
    <row r="21" spans="1:9" x14ac:dyDescent="0.35">
      <c r="B21" s="116">
        <f ca="1">[1]!onepair_B($C$19)</f>
        <v>1.3</v>
      </c>
      <c r="C21" s="117">
        <f ca="1">[1]!onepair_B2($C$19)</f>
        <v>1.6628000000000001</v>
      </c>
      <c r="D21" s="77"/>
    </row>
    <row r="22" spans="1:9" x14ac:dyDescent="0.35">
      <c r="B22" s="116">
        <f ca="1">[1]!onepair_C($C$19)</f>
        <v>1.1304347826087</v>
      </c>
      <c r="C22" s="117">
        <f ca="1">[1]!onepair_C2($C$19)</f>
        <v>1.6628000000000001</v>
      </c>
      <c r="D22" s="77"/>
    </row>
    <row r="23" spans="1:9" x14ac:dyDescent="0.35">
      <c r="B23" s="116">
        <f ca="1">[1]!onepair_D($C$19)</f>
        <v>1.3</v>
      </c>
      <c r="C23" s="117">
        <f ca="1">[1]!onepair_D2($C$19)</f>
        <v>1.91222</v>
      </c>
      <c r="D23" s="77"/>
    </row>
    <row r="24" spans="1:9" ht="16" thickBot="1" x14ac:dyDescent="0.4">
      <c r="B24" s="118">
        <f ca="1">[1]!onepair_E($C$19)</f>
        <v>0.98298676748582203</v>
      </c>
      <c r="C24" s="119">
        <f ca="1">[1]!onepair_E2($C$19)</f>
        <v>1.91222</v>
      </c>
      <c r="D24" s="78"/>
    </row>
    <row r="25" spans="1:9" ht="16" thickTop="1" x14ac:dyDescent="0.35"/>
    <row r="27" spans="1:9" x14ac:dyDescent="0.35">
      <c r="A27" s="88" t="s">
        <v>3439</v>
      </c>
    </row>
    <row r="28" spans="1:9" x14ac:dyDescent="0.35">
      <c r="A28" s="4" t="str">
        <f ca="1">INDEX(F29:F33,MID(G28,1,1))</f>
        <v>pesos</v>
      </c>
      <c r="B28" s="2" t="s">
        <v>3651</v>
      </c>
      <c r="F28" s="6" t="s">
        <v>3153</v>
      </c>
      <c r="G28" s="62">
        <f ca="1">INDEX(TwoFromFive,RANDBETWEEN(1,20))</f>
        <v>31</v>
      </c>
      <c r="H28" s="6" t="s">
        <v>1115</v>
      </c>
      <c r="I28" s="2" t="str">
        <f ca="1">IF(H29=0,"sell","buy")</f>
        <v>sell</v>
      </c>
    </row>
    <row r="29" spans="1:9" x14ac:dyDescent="0.35">
      <c r="A29" s="4" t="str">
        <f ca="1">INDEX(F29:F33,MID(G28,2,1))</f>
        <v>rupees</v>
      </c>
      <c r="B29" s="2" t="s">
        <v>3652</v>
      </c>
      <c r="F29" s="2" t="s">
        <v>3640</v>
      </c>
      <c r="H29" s="2">
        <f ca="1">RANDBETWEEN(0,1)</f>
        <v>0</v>
      </c>
      <c r="I29" s="2" t="str">
        <f ca="1">IF(H29=0,"foreign currency revenues into USD","USD into foreign currency")</f>
        <v>foreign currency revenues into USD</v>
      </c>
    </row>
    <row r="30" spans="1:9" x14ac:dyDescent="0.35">
      <c r="A30" s="115">
        <f ca="1">RANDBETWEEN(40,100)/10</f>
        <v>8.8000000000000007</v>
      </c>
      <c r="B30" s="2" t="s">
        <v>3653</v>
      </c>
      <c r="F30" s="2" t="s">
        <v>2024</v>
      </c>
      <c r="I30" s="2" t="str">
        <f ca="1">IF(H29=0,"receives","pays")</f>
        <v>receives</v>
      </c>
    </row>
    <row r="31" spans="1:9" x14ac:dyDescent="0.35">
      <c r="A31" s="115">
        <f ca="1">ROUND((1+RANDBETWEEN(26,35)/100)^(IF(RANDBETWEEN(0,1)=0,1,-1))*A30,2)</f>
        <v>11.53</v>
      </c>
      <c r="B31" s="2" t="s">
        <v>3654</v>
      </c>
      <c r="F31" s="2" t="s">
        <v>1312</v>
      </c>
      <c r="I31" s="2" t="str">
        <f ca="1">IF(H29=0,"more","less")</f>
        <v>more</v>
      </c>
    </row>
    <row r="32" spans="1:9" x14ac:dyDescent="0.35">
      <c r="A32" s="218">
        <f ca="1">RANDBETWEEN(20,40)*1200</f>
        <v>28800</v>
      </c>
      <c r="B32" s="2" t="s">
        <v>336</v>
      </c>
      <c r="F32" s="2" t="s">
        <v>1725</v>
      </c>
      <c r="I32" s="2" t="str">
        <f ca="1">IF(H29=0,"sale","purchase")</f>
        <v>sale</v>
      </c>
    </row>
    <row r="33" spans="1:12" x14ac:dyDescent="0.35">
      <c r="A33" s="20">
        <f ca="1">A32/A30</f>
        <v>3272.7272727272725</v>
      </c>
      <c r="B33" s="2" t="s">
        <v>2517</v>
      </c>
      <c r="F33" s="2" t="s">
        <v>3267</v>
      </c>
    </row>
    <row r="34" spans="1:12" x14ac:dyDescent="0.35">
      <c r="A34" s="218">
        <f ca="1">ROUND(A32*(1+RANDBETWEEN(16,25)/100)^(IF(RANDBETWEEN(0,1)=0,1,-1)),-2)</f>
        <v>36000</v>
      </c>
      <c r="B34" s="2" t="s">
        <v>2519</v>
      </c>
    </row>
    <row r="35" spans="1:12" x14ac:dyDescent="0.35">
      <c r="A35" s="20">
        <f ca="1">A34/A31</f>
        <v>3122.2896790980053</v>
      </c>
      <c r="B35" s="2" t="s">
        <v>2518</v>
      </c>
      <c r="H35" s="4" t="s">
        <v>3255</v>
      </c>
      <c r="I35" s="4" t="s">
        <v>2692</v>
      </c>
      <c r="J35" s="4" t="s">
        <v>2693</v>
      </c>
    </row>
    <row r="36" spans="1:12" x14ac:dyDescent="0.35">
      <c r="A36" s="20">
        <f ca="1">ABS(A35-A33)</f>
        <v>150.43759362926721</v>
      </c>
      <c r="B36" s="2" t="s">
        <v>337</v>
      </c>
      <c r="G36" s="6" t="s">
        <v>2694</v>
      </c>
      <c r="H36" s="2" t="str">
        <f ca="1">IF(A33&lt;A35,A28,A29)</f>
        <v>rupees</v>
      </c>
      <c r="I36" s="2" t="str">
        <f ca="1">IF(A33&gt;A35,A28,A29)</f>
        <v>pesos</v>
      </c>
      <c r="J36" s="2" t="str">
        <f ca="1">IF(I28="buy",IF(A33&gt;A35,A29,A28),IF(A33&lt;A35,A29,A28))</f>
        <v>pesos</v>
      </c>
    </row>
    <row r="37" spans="1:12" x14ac:dyDescent="0.35">
      <c r="A37" s="4"/>
      <c r="G37" s="6" t="s">
        <v>2695</v>
      </c>
      <c r="H37" s="2" t="str">
        <f ca="1">IF(A33&gt;A35,A28,A29)</f>
        <v>pesos</v>
      </c>
      <c r="I37" s="2" t="str">
        <f ca="1">IF(A33&lt;A35,A28,A29)</f>
        <v>rupees</v>
      </c>
      <c r="J37" s="2" t="str">
        <f ca="1">IF(J36=A28,A29,A28)</f>
        <v>rupees</v>
      </c>
    </row>
    <row r="38" spans="1:12" x14ac:dyDescent="0.35">
      <c r="A38" s="4"/>
    </row>
    <row r="40" spans="1:12" ht="16" thickBot="1" x14ac:dyDescent="0.4">
      <c r="B40" s="120" t="s">
        <v>3438</v>
      </c>
      <c r="F40" s="120" t="s">
        <v>2091</v>
      </c>
      <c r="J40" s="120" t="s">
        <v>2093</v>
      </c>
    </row>
    <row r="41" spans="1:12" ht="16.5" thickTop="1" thickBot="1" x14ac:dyDescent="0.4">
      <c r="B41" s="76" t="str">
        <f ca="1">[1]!alpha_ans($C$41)</f>
        <v>B</v>
      </c>
      <c r="C41" s="79" t="str">
        <f ca="1" xml:space="preserve"> "/\" &amp;RANDBETWEEN( 1,5) &amp; "/\" &amp;RANDBETWEEN( 1,120) &amp; "/\" &amp;RANDBETWEEN( 1,6) &amp; "/\" &amp;RANDBETWEEN( 1,2) &amp; "/\" &amp; A36 &amp; "/\" &amp; "Mask" &amp; "/\" &amp; "Mask" &amp; "/\" &amp; I36 &amp; "/\" &amp; I37</f>
        <v>/\2/\116/\4/\2/\150.437593629267/\Mask/\Mask/\pesos/\rupees</v>
      </c>
      <c r="D41" s="80" t="s">
        <v>3440</v>
      </c>
      <c r="F41" s="76" t="str">
        <f ca="1">[1]!alpha_ans($G$41)</f>
        <v>B</v>
      </c>
      <c r="G41" s="79" t="str">
        <f ca="1" xml:space="preserve"> "/\" &amp;RANDBETWEEN( 1,5) &amp; "/\" &amp;RANDBETWEEN( 1,120) &amp; "/\" &amp;RANDBETWEEN( 1,6) &amp; "/\" &amp;RANDBETWEEN( 1,2) &amp; "/\" &amp; A36 &amp; "/\" &amp; "Mask" &amp; "/\" &amp; "Mask" &amp; "/\" &amp; H36 &amp; "/\" &amp; H37</f>
        <v>/\2/\46/\1/\2/\150.437593629267/\Mask/\Mask/\rupees/\pesos</v>
      </c>
      <c r="H41" s="80" t="s">
        <v>2092</v>
      </c>
      <c r="J41" s="76" t="str">
        <f ca="1">[1]!alpha_ans($K$41)</f>
        <v>C</v>
      </c>
      <c r="K41" s="79" t="str">
        <f ca="1" xml:space="preserve"> "/\" &amp;RANDBETWEEN( 1,5) &amp; "/\" &amp;RANDBETWEEN( 1,120) &amp; "/\" &amp;RANDBETWEEN( 1,6) &amp; "/\" &amp;RANDBETWEEN( 1,2) &amp; "/\" &amp; A36 &amp; "/\" &amp; "Mask" &amp; "/\" &amp; "Mask" &amp; "/\" &amp; J36 &amp; "/\" &amp; J37</f>
        <v>/\3/\48/\2/\1/\150.437593629267/\Mask/\Mask/\pesos/\rupees</v>
      </c>
      <c r="L41" s="80" t="s">
        <v>2094</v>
      </c>
    </row>
    <row r="42" spans="1:12" ht="16" thickTop="1" x14ac:dyDescent="0.35">
      <c r="B42" s="110">
        <f ca="1">[1]!onepair_A($C$41)</f>
        <v>130.815298808058</v>
      </c>
      <c r="C42" s="82" t="str">
        <f ca="1">[1]!onepair_A2($C$41)</f>
        <v>rupees</v>
      </c>
      <c r="D42" s="77"/>
      <c r="F42" s="110">
        <f ca="1">[1]!onepair_A($G$41)</f>
        <v>173.00323267365701</v>
      </c>
      <c r="G42" s="82" t="str">
        <f ca="1">[1]!onepair_A2($G$41)</f>
        <v>rupees</v>
      </c>
      <c r="H42" s="77"/>
      <c r="J42" s="110">
        <f ca="1">[1]!onepair_A($K$41)</f>
        <v>198.95371757470599</v>
      </c>
      <c r="K42" s="82" t="str">
        <f ca="1">[1]!onepair_A2($K$41)</f>
        <v>pesos</v>
      </c>
      <c r="L42" s="77"/>
    </row>
    <row r="43" spans="1:12" x14ac:dyDescent="0.35">
      <c r="B43" s="110">
        <f ca="1">[1]!onepair_B($C$41)</f>
        <v>150.43759362926701</v>
      </c>
      <c r="C43" s="82" t="str">
        <f ca="1">[1]!onepair_B2($C$41)</f>
        <v>pesos</v>
      </c>
      <c r="D43" s="77"/>
      <c r="F43" s="110">
        <f ca="1">[1]!onepair_B($G$41)</f>
        <v>150.43759362926701</v>
      </c>
      <c r="G43" s="82" t="str">
        <f ca="1">[1]!onepair_B2($G$41)</f>
        <v>rupees</v>
      </c>
      <c r="H43" s="77"/>
      <c r="J43" s="110">
        <f ca="1">[1]!onepair_B($K$41)</f>
        <v>173.00323267365701</v>
      </c>
      <c r="K43" s="82" t="str">
        <f ca="1">[1]!onepair_B2($K$41)</f>
        <v>rupees</v>
      </c>
      <c r="L43" s="77"/>
    </row>
    <row r="44" spans="1:12" x14ac:dyDescent="0.35">
      <c r="B44" s="110">
        <f ca="1">[1]!onepair_C($C$41)</f>
        <v>150.43759362926701</v>
      </c>
      <c r="C44" s="82" t="str">
        <f ca="1">[1]!onepair_C2($C$41)</f>
        <v>rupees</v>
      </c>
      <c r="D44" s="77"/>
      <c r="F44" s="110">
        <f ca="1">[1]!onepair_C($G$41)</f>
        <v>173.00323267365701</v>
      </c>
      <c r="G44" s="82" t="str">
        <f ca="1">[1]!onepair_C2($G$41)</f>
        <v>pesos</v>
      </c>
      <c r="H44" s="77"/>
      <c r="J44" s="110">
        <f ca="1">[1]!onepair_C($K$41)</f>
        <v>150.43759362926701</v>
      </c>
      <c r="K44" s="82" t="str">
        <f ca="1">[1]!onepair_C2($K$41)</f>
        <v>pesos</v>
      </c>
      <c r="L44" s="77"/>
    </row>
    <row r="45" spans="1:12" x14ac:dyDescent="0.35">
      <c r="B45" s="110">
        <f ca="1">[1]!onepair_D($C$41)</f>
        <v>173.00323267365701</v>
      </c>
      <c r="C45" s="82" t="str">
        <f ca="1">[1]!onepair_D2($C$41)</f>
        <v>rupees</v>
      </c>
      <c r="D45" s="77"/>
      <c r="F45" s="110">
        <f ca="1">[1]!onepair_D($G$41)</f>
        <v>198.95371757470599</v>
      </c>
      <c r="G45" s="82" t="str">
        <f ca="1">[1]!onepair_D2($G$41)</f>
        <v>rupees</v>
      </c>
      <c r="H45" s="77"/>
      <c r="J45" s="110">
        <f ca="1">[1]!onepair_D($K$41)</f>
        <v>198.95371757470599</v>
      </c>
      <c r="K45" s="82" t="str">
        <f ca="1">[1]!onepair_D2($K$41)</f>
        <v>rupees</v>
      </c>
      <c r="L45" s="77"/>
    </row>
    <row r="46" spans="1:12" ht="16" thickBot="1" x14ac:dyDescent="0.4">
      <c r="B46" s="111">
        <f ca="1">[1]!onepair_E($C$41)</f>
        <v>173.00323267365701</v>
      </c>
      <c r="C46" s="84" t="str">
        <f ca="1">[1]!onepair_E2($C$41)</f>
        <v>pesos</v>
      </c>
      <c r="D46" s="78"/>
      <c r="F46" s="111">
        <f ca="1">[1]!onepair_E($G$41)</f>
        <v>150.43759362926701</v>
      </c>
      <c r="G46" s="84" t="str">
        <f ca="1">[1]!onepair_E2($G$41)</f>
        <v>pesos</v>
      </c>
      <c r="H46" s="78"/>
      <c r="J46" s="111">
        <f ca="1">[1]!onepair_E($K$41)</f>
        <v>150.43759362926701</v>
      </c>
      <c r="K46" s="84" t="str">
        <f ca="1">[1]!onepair_E2($K$41)</f>
        <v>rupees</v>
      </c>
      <c r="L46" s="78"/>
    </row>
    <row r="47" spans="1:12" ht="16" thickTop="1" x14ac:dyDescent="0.35"/>
    <row r="49" spans="1:9" x14ac:dyDescent="0.35">
      <c r="A49" s="120" t="s">
        <v>2095</v>
      </c>
    </row>
    <row r="50" spans="1:9" x14ac:dyDescent="0.35">
      <c r="A50" s="4" t="str">
        <f ca="1">INDEX(F51:F55,G50)</f>
        <v>zloty</v>
      </c>
      <c r="B50" s="2" t="s">
        <v>334</v>
      </c>
      <c r="F50" s="147" t="s">
        <v>3153</v>
      </c>
      <c r="G50" s="62">
        <f ca="1">RANDBETWEEN(1,5)</f>
        <v>2</v>
      </c>
      <c r="H50" s="8">
        <f ca="1">ROUND(A57*A56,0)</f>
        <v>76200</v>
      </c>
      <c r="I50" s="2" t="s">
        <v>1793</v>
      </c>
    </row>
    <row r="51" spans="1:9" x14ac:dyDescent="0.35">
      <c r="A51" s="4" t="str">
        <f ca="1">INDEX(G51:G55,G50)</f>
        <v>Poland</v>
      </c>
      <c r="B51" s="2" t="s">
        <v>1222</v>
      </c>
      <c r="F51" s="2" t="s">
        <v>2436</v>
      </c>
      <c r="G51" s="2" t="s">
        <v>3718</v>
      </c>
      <c r="H51" s="8">
        <f ca="1">ROUND(A53*A57,0)</f>
        <v>71220</v>
      </c>
      <c r="I51" s="2" t="s">
        <v>1794</v>
      </c>
    </row>
    <row r="52" spans="1:9" x14ac:dyDescent="0.35">
      <c r="A52" s="233">
        <f ca="1">RANDBETWEEN(40,120)/1000</f>
        <v>0.106</v>
      </c>
      <c r="B52" s="2" t="s">
        <v>2488</v>
      </c>
      <c r="F52" s="2" t="s">
        <v>1899</v>
      </c>
      <c r="G52" s="2" t="s">
        <v>1900</v>
      </c>
      <c r="H52" s="11" t="s">
        <v>1795</v>
      </c>
    </row>
    <row r="53" spans="1:9" x14ac:dyDescent="0.35">
      <c r="A53" s="233">
        <f ca="1">ROUND(A52*(1+RANDBETWEEN(8,13)/100)^(IF(RANDBETWEEN(0,1)=0,1,-1)),4)</f>
        <v>0.1187</v>
      </c>
      <c r="B53" s="2" t="s">
        <v>2489</v>
      </c>
      <c r="F53" s="2" t="s">
        <v>2902</v>
      </c>
      <c r="G53" s="2" t="s">
        <v>1901</v>
      </c>
      <c r="H53" s="2" t="str">
        <f ca="1">IF(H50&gt;H51,"costs","saves")</f>
        <v>costs</v>
      </c>
      <c r="I53" s="2" t="str">
        <f ca="1">IF(H50&lt;H51,"costs","saves")</f>
        <v>saves</v>
      </c>
    </row>
    <row r="54" spans="1:9" x14ac:dyDescent="0.35">
      <c r="A54" s="25">
        <f ca="1">100*IF(RANDBETWEEN(0,1)=0,ROUNDDOWN(A52,2),ROUNDUP(A52,2))</f>
        <v>11</v>
      </c>
      <c r="B54" s="2" t="s">
        <v>1790</v>
      </c>
      <c r="F54" s="2" t="s">
        <v>1496</v>
      </c>
      <c r="G54" s="2" t="s">
        <v>1902</v>
      </c>
      <c r="H54" s="20">
        <f ca="1">ABS(H50-H51)</f>
        <v>4980</v>
      </c>
    </row>
    <row r="55" spans="1:9" x14ac:dyDescent="0.35">
      <c r="A55" s="115">
        <f ca="1">100*(IF(A54/100-A52&gt;0,A54/100-A52,0)+RANDBETWEEN(70,200)/10000)</f>
        <v>2.2400000000000002</v>
      </c>
      <c r="B55" s="2" t="s">
        <v>1797</v>
      </c>
      <c r="F55" s="2" t="s">
        <v>1497</v>
      </c>
      <c r="G55" s="2" t="s">
        <v>1903</v>
      </c>
      <c r="H55" s="2" t="str">
        <f ca="1">"hedging the transaction with a short futures position " &amp; H53 &amp; " the company $" &amp; H54 &amp; " relative to the revenue received had no hedging occurred"</f>
        <v>hedging the transaction with a short futures position costs the company $4980 relative to the revenue received had no hedging occurred</v>
      </c>
    </row>
    <row r="56" spans="1:9" x14ac:dyDescent="0.35">
      <c r="A56" s="233">
        <f ca="1">ROUND(A52*(1+RANDBETWEEN(16,25)/100)^(IF(RANDBETWEEN(0,1)=0,1,-1)),3)</f>
        <v>0.127</v>
      </c>
      <c r="B56" s="2" t="s">
        <v>1791</v>
      </c>
      <c r="H56" s="2" t="str">
        <f ca="1">"hedging the transaction with a short futures position " &amp; I53 &amp; " the company $" &amp; H54 &amp; " relative to the revenue received had no hedging occurred"</f>
        <v>hedging the transaction with a short futures position saves the company $4980 relative to the revenue received had no hedging occurred</v>
      </c>
    </row>
    <row r="57" spans="1:9" x14ac:dyDescent="0.35">
      <c r="A57" s="234">
        <f ca="1">100000*RANDBETWEEN(4,8)</f>
        <v>600000</v>
      </c>
      <c r="B57" s="2" t="s">
        <v>1792</v>
      </c>
    </row>
    <row r="58" spans="1:9" x14ac:dyDescent="0.35">
      <c r="H58" s="11" t="s">
        <v>1796</v>
      </c>
    </row>
    <row r="59" spans="1:9" x14ac:dyDescent="0.35">
      <c r="H59" s="20">
        <f ca="1">ROUND(A57*A55/100,0)</f>
        <v>13440</v>
      </c>
      <c r="I59" s="2" t="s">
        <v>3814</v>
      </c>
    </row>
    <row r="60" spans="1:9" x14ac:dyDescent="0.35">
      <c r="D60" s="11" t="s">
        <v>1800</v>
      </c>
      <c r="H60" s="20">
        <f ca="1">ROUND(A57*IF(A56&lt;A54/100,A54/100-A56,0),0)</f>
        <v>0</v>
      </c>
      <c r="I60" s="2" t="s">
        <v>1798</v>
      </c>
    </row>
    <row r="61" spans="1:9" x14ac:dyDescent="0.35">
      <c r="D61" s="20">
        <f ca="1">A52*A57</f>
        <v>63600</v>
      </c>
      <c r="E61" s="2">
        <f ca="1">ABS(D61-H50)</f>
        <v>12600</v>
      </c>
      <c r="H61" s="21">
        <f ca="1">H50-H59+H60</f>
        <v>62760</v>
      </c>
      <c r="I61" s="2" t="s">
        <v>1799</v>
      </c>
    </row>
    <row r="62" spans="1:9" x14ac:dyDescent="0.35">
      <c r="D62" s="2" t="str">
        <f ca="1">IF(D61&gt;H50,"more","less")</f>
        <v>less</v>
      </c>
      <c r="E62" s="2" t="str">
        <f ca="1">IF(D61&lt;H50,"more","less")</f>
        <v>more</v>
      </c>
      <c r="H62" s="2" t="str">
        <f ca="1">IF(H50&gt;H61,"costs","saves")</f>
        <v>costs</v>
      </c>
      <c r="I62" s="2" t="str">
        <f ca="1">IF(H50&lt;H61,"costs","saves")</f>
        <v>saves</v>
      </c>
    </row>
    <row r="63" spans="1:9" x14ac:dyDescent="0.35">
      <c r="D63" s="2" t="str">
        <f ca="1">"the company receives $" &amp; E61 &amp; " " &amp; D62 &amp; " revenue if they were able to exchange at the price in today’s spot market instead of exchanging at the spot price expected in three months"</f>
        <v>the company receives $12600 less revenue if they were able to exchange at the price in today’s spot market instead of exchanging at the spot price expected in three months</v>
      </c>
      <c r="H63" s="20">
        <f ca="1">ABS(H61-H50)</f>
        <v>13440</v>
      </c>
    </row>
    <row r="64" spans="1:9" x14ac:dyDescent="0.35">
      <c r="D64" s="2" t="str">
        <f ca="1">"the company receives $" &amp; E61 &amp; " " &amp; E62 &amp; " revenue if they if they were able to exchange at the price in today’s spot market instead of exchanging at the spot price expected in three months"</f>
        <v>the company receives $12600 more revenue if they if they were able to exchange at the price in today’s spot market instead of exchanging at the spot price expected in three months</v>
      </c>
      <c r="H64" s="2" t="str">
        <f ca="1">"hedging the transaction with a long put option position " &amp; H62 &amp; " the company $" &amp; H63 &amp; " relative to the revenue received had no hedging occurred"</f>
        <v>hedging the transaction with a long put option position costs the company $13440 relative to the revenue received had no hedging occurred</v>
      </c>
    </row>
    <row r="65" spans="1:8" x14ac:dyDescent="0.35">
      <c r="H65" s="2" t="str">
        <f ca="1">"hedging the transaction with a long put option position " &amp; I62 &amp; " the company $" &amp; H63 &amp; " relative to the revenue received had no hedging occurred"</f>
        <v>hedging the transaction with a long put option position saves the company $13440 relative to the revenue received had no hedging occurred</v>
      </c>
    </row>
    <row r="66" spans="1:8" ht="16" thickBot="1" x14ac:dyDescent="0.4"/>
    <row r="67" spans="1:8" ht="16.5" thickTop="1" thickBot="1" x14ac:dyDescent="0.4">
      <c r="B67" s="76" t="str">
        <f ca="1">[1]!alpha_ans($C$67)</f>
        <v>C</v>
      </c>
      <c r="C67" s="79" t="str">
        <f ca="1" xml:space="preserve"> "/\" &amp;RANDBETWEEN( 1,5) &amp; "/\" &amp;RANDBETWEEN( 1,3) &amp; "/\" &amp;RANDBETWEEN( 1,2) &amp; "/\" &amp;H55 &amp; "/\" &amp; H56 &amp; "/\" &amp; H64 &amp; "/\" &amp; H65 &amp; "/\" &amp; D63 &amp; "/\" &amp; D64</f>
        <v>/\3/\3/\2/\hedging the transaction with a short futures position costs the company $4980 relative to the revenue received had no hedging occurred/\hedging the transaction with a short futures position saves the company $4980 relative to the revenue received had no hedging occurred/\hedging the transaction with a long put option position costs the company $13440 relative to the revenue received had no hedging occurred/\hedging the transaction with a long put option position saves the company $13440 relative to the revenue received had no hedging occurred/\the company receives $12600 less revenue if they were able to exchange at the price in today’s spot market instead of exchanging at the spot price expected in three months/\the company receives $12600 more revenue if they if they were able to exchange at the price in today’s spot market instead of exchanging at the spot price expected in three months</v>
      </c>
      <c r="D67" s="80" t="s">
        <v>2096</v>
      </c>
    </row>
    <row r="68" spans="1:8" ht="16" thickTop="1" x14ac:dyDescent="0.35">
      <c r="B68" s="81" t="str">
        <f ca="1">[1]!complexV_A($C$67)</f>
        <v>hedging the transaction with a short futures position saves the company $4980 relative to the revenue received had no hedging occurred</v>
      </c>
      <c r="C68" s="82"/>
      <c r="D68" s="77"/>
    </row>
    <row r="69" spans="1:8" x14ac:dyDescent="0.35">
      <c r="B69" s="81" t="str">
        <f ca="1">[1]!complexV_B($C$67)</f>
        <v>hedging the transaction with a long put option position saves the company $13440 relative to the revenue received had no hedging occurred</v>
      </c>
      <c r="C69" s="82"/>
      <c r="D69" s="77"/>
    </row>
    <row r="70" spans="1:8" x14ac:dyDescent="0.35">
      <c r="B70" s="81" t="str">
        <f ca="1">[1]!complexV_C($C$67)</f>
        <v>the company receives $12600 less revenue if they were able to exchange at the price in today’s spot market instead of exchanging at the spot price expected in three months</v>
      </c>
      <c r="C70" s="82"/>
      <c r="D70" s="77"/>
    </row>
    <row r="71" spans="1:8" x14ac:dyDescent="0.35">
      <c r="B71" s="81" t="str">
        <f ca="1">[1]!complexV_D($C$67)</f>
        <v>Two choices, B and C, are correct</v>
      </c>
      <c r="C71" s="82"/>
      <c r="D71" s="77"/>
    </row>
    <row r="72" spans="1:8" ht="16" thickBot="1" x14ac:dyDescent="0.4">
      <c r="B72" s="83" t="str">
        <f ca="1">[1]!complexV_E($C$67)</f>
        <v>None of the A-B-C choices are correct</v>
      </c>
      <c r="C72" s="84"/>
      <c r="D72" s="78"/>
    </row>
    <row r="73" spans="1:8" ht="16" thickTop="1" x14ac:dyDescent="0.35"/>
    <row r="75" spans="1:8" x14ac:dyDescent="0.35">
      <c r="A75" s="88" t="s">
        <v>2097</v>
      </c>
    </row>
    <row r="76" spans="1:8" x14ac:dyDescent="0.35">
      <c r="A76" s="20">
        <f ca="1">25000*RANDBETWEEN(4,8)</f>
        <v>125000</v>
      </c>
      <c r="B76" s="2" t="s">
        <v>3456</v>
      </c>
    </row>
    <row r="77" spans="1:8" x14ac:dyDescent="0.35">
      <c r="A77" s="115">
        <f ca="1">RANDBETWEEN(700,950)/100</f>
        <v>7.87</v>
      </c>
      <c r="B77" s="2" t="s">
        <v>986</v>
      </c>
      <c r="F77" s="6" t="s">
        <v>2691</v>
      </c>
      <c r="G77" s="2" t="str">
        <f ca="1">INDEX(F78:F82,RANDBETWEEN(1,5))</f>
        <v>sucre</v>
      </c>
    </row>
    <row r="78" spans="1:8" x14ac:dyDescent="0.35">
      <c r="A78" s="4" t="str">
        <f ca="1">IF(RANDBETWEEN(0,1)=0,"appreciates","depreciates")</f>
        <v>depreciates</v>
      </c>
      <c r="B78" s="2" t="s">
        <v>207</v>
      </c>
      <c r="C78" s="23">
        <f ca="1">RANDBETWEEN(3,12)/100</f>
        <v>0.06</v>
      </c>
      <c r="F78" s="4" t="s">
        <v>472</v>
      </c>
    </row>
    <row r="79" spans="1:8" x14ac:dyDescent="0.35">
      <c r="A79" s="382">
        <f ca="1">1/((1/A77)*(1+IF(A78="appreciates",C78,-C78)))</f>
        <v>8.3723404255319149</v>
      </c>
      <c r="B79" s="2" t="s">
        <v>400</v>
      </c>
      <c r="F79" s="4" t="s">
        <v>473</v>
      </c>
    </row>
    <row r="80" spans="1:8" x14ac:dyDescent="0.35">
      <c r="A80" s="234">
        <f ca="1">A76*A77</f>
        <v>983750</v>
      </c>
      <c r="B80" s="2" t="s">
        <v>987</v>
      </c>
      <c r="D80" s="4">
        <f ca="1">IF(VALUE(RIGHT(A80,3))=0,3,IF(VALUE(RIGHT(A80,2))=0,2,1))</f>
        <v>1</v>
      </c>
      <c r="F80" s="4" t="s">
        <v>2024</v>
      </c>
    </row>
    <row r="81" spans="1:12" x14ac:dyDescent="0.35">
      <c r="A81" s="20">
        <f ca="1">A80/A79</f>
        <v>117500</v>
      </c>
      <c r="B81" s="2" t="s">
        <v>399</v>
      </c>
      <c r="D81" s="4">
        <f ca="1">IF(VALUE(RIGHT(A81,3))=0,3,IF(VALUE(RIGHT(A81,2))=0,2,1))</f>
        <v>2</v>
      </c>
      <c r="F81" s="4" t="s">
        <v>1725</v>
      </c>
    </row>
    <row r="82" spans="1:12" x14ac:dyDescent="0.35">
      <c r="A82" s="20">
        <f ca="1">ABS(A76-A81)</f>
        <v>7500</v>
      </c>
      <c r="B82" s="2" t="str">
        <f ca="1">IF(A76&gt;A81,"shortfall","surplus")</f>
        <v>shortfall</v>
      </c>
      <c r="C82" s="2" t="str">
        <f ca="1">IF(A76&lt;A81,"shortfall","surplus")</f>
        <v>surplus</v>
      </c>
      <c r="D82" s="4">
        <f ca="1">IF(VALUE(RIGHT(A82,3))=0,3,IF(VALUE(RIGHT(A82,2))=0,2,1))</f>
        <v>2</v>
      </c>
      <c r="F82" s="4" t="s">
        <v>1592</v>
      </c>
    </row>
    <row r="84" spans="1:12" ht="16" thickBot="1" x14ac:dyDescent="0.4">
      <c r="B84" s="120" t="s">
        <v>2098</v>
      </c>
      <c r="F84" s="120" t="s">
        <v>2100</v>
      </c>
      <c r="J84" s="120" t="s">
        <v>562</v>
      </c>
    </row>
    <row r="85" spans="1:12" ht="16.5" thickTop="1" thickBot="1" x14ac:dyDescent="0.4">
      <c r="B85" s="76" t="str">
        <f ca="1">[1]!std_ans($C$85)</f>
        <v>C</v>
      </c>
      <c r="C85" s="79" t="str">
        <f ca="1" xml:space="preserve"> "/\" &amp;RANDBETWEEN( 1,120) &amp; "/\" &amp;RANDBETWEEN( 1,120) &amp; "/\" &amp;0.1 &amp; "/\" &amp; A80</f>
        <v>/\68/\23/\0.1/\983750</v>
      </c>
      <c r="D85" s="80" t="s">
        <v>2099</v>
      </c>
      <c r="F85" s="76" t="str">
        <f ca="1">[1]!std_ans($G$85)</f>
        <v>D</v>
      </c>
      <c r="G85" s="79" t="str">
        <f ca="1" xml:space="preserve"> "/\" &amp;RANDBETWEEN( 1,120) &amp; "/\" &amp;RANDBETWEEN( 1,120) &amp; "/\" &amp;0.1 &amp; "/\" &amp; A81</f>
        <v>/\59/\2/\0.1/\117500</v>
      </c>
      <c r="H85" s="80" t="s">
        <v>2101</v>
      </c>
      <c r="J85" s="76" t="str">
        <f ca="1">[1]!alpha_ans($K$85)</f>
        <v>D</v>
      </c>
      <c r="K85" s="79" t="str">
        <f ca="1" xml:space="preserve"> "/\" &amp;RANDBETWEEN( 1,5) &amp; "/\" &amp;RANDBETWEEN( 1,120) &amp; "/\" &amp;RANDBETWEEN( 1,6) &amp; "/\" &amp;RANDBETWEEN( 1,2) &amp; "/\" &amp; A82 &amp; "/\" &amp; "Mask" &amp; "/\" &amp; "Mask" &amp; "/\" &amp; B82 &amp; "/\" &amp; C82</f>
        <v>/\4/\19/\3/\2/\7500/\Mask/\Mask/\shortfall/\surplus</v>
      </c>
      <c r="L85" s="80" t="s">
        <v>563</v>
      </c>
    </row>
    <row r="86" spans="1:12" ht="16" thickTop="1" x14ac:dyDescent="0.35">
      <c r="B86" s="81">
        <f ca="1">ROUND([1]!stdnum_A($C$85),-D80)</f>
        <v>1309370</v>
      </c>
      <c r="C86" s="82"/>
      <c r="D86" s="77"/>
      <c r="F86" s="110">
        <f ca="1">ROUND([1]!stdnum_A($G$85),-D81)</f>
        <v>142200</v>
      </c>
      <c r="G86" s="82"/>
      <c r="H86" s="77"/>
      <c r="J86" s="110">
        <f ca="1">ROUND([1]!onepair_A($K$85),-D82)</f>
        <v>7500</v>
      </c>
      <c r="K86" s="82" t="str">
        <f ca="1">[1]!onepair_A2($K$85)</f>
        <v>surplus</v>
      </c>
      <c r="L86" s="77"/>
    </row>
    <row r="87" spans="1:12" x14ac:dyDescent="0.35">
      <c r="B87" s="81">
        <f ca="1">ROUND([1]!stdnum_B($C$85),-D80)</f>
        <v>1190340</v>
      </c>
      <c r="C87" s="82"/>
      <c r="D87" s="77"/>
      <c r="F87" s="110">
        <f ca="1">ROUND([1]!stdnum_B($G$85),-D81)</f>
        <v>129300</v>
      </c>
      <c r="G87" s="82"/>
      <c r="H87" s="77"/>
      <c r="J87" s="110">
        <f ca="1">ROUND([1]!onepair_B($K$85),-D82)</f>
        <v>8600</v>
      </c>
      <c r="K87" s="82" t="str">
        <f ca="1">[1]!onepair_B2($K$85)</f>
        <v>surplus</v>
      </c>
      <c r="L87" s="77"/>
    </row>
    <row r="88" spans="1:12" x14ac:dyDescent="0.35">
      <c r="B88" s="81">
        <f ca="1">ROUND([1]!stdnum_C($C$85),-D80)</f>
        <v>983750</v>
      </c>
      <c r="C88" s="82"/>
      <c r="D88" s="77"/>
      <c r="F88" s="110">
        <f ca="1">ROUND([1]!stdnum_C($G$85),-D81)</f>
        <v>156400</v>
      </c>
      <c r="G88" s="82"/>
      <c r="H88" s="77"/>
      <c r="J88" s="110">
        <f ca="1">ROUND([1]!onepair_C($K$85),-D82)</f>
        <v>6500</v>
      </c>
      <c r="K88" s="82" t="str">
        <f ca="1">[1]!onepair_C2($K$85)</f>
        <v>shortfall</v>
      </c>
      <c r="L88" s="77"/>
    </row>
    <row r="89" spans="1:12" x14ac:dyDescent="0.35">
      <c r="B89" s="81">
        <f ca="1">ROUND([1]!stdnum_D($C$85),-D80)</f>
        <v>1082130</v>
      </c>
      <c r="C89" s="82"/>
      <c r="D89" s="77"/>
      <c r="F89" s="110">
        <f ca="1">ROUND([1]!stdnum_D($G$85),-D81)</f>
        <v>117500</v>
      </c>
      <c r="G89" s="82"/>
      <c r="H89" s="77"/>
      <c r="J89" s="110">
        <f ca="1">ROUND([1]!onepair_D($K$85),-D82)</f>
        <v>7500</v>
      </c>
      <c r="K89" s="82" t="str">
        <f ca="1">[1]!onepair_D2($K$85)</f>
        <v>shortfall</v>
      </c>
      <c r="L89" s="77"/>
    </row>
    <row r="90" spans="1:12" ht="16" thickBot="1" x14ac:dyDescent="0.4">
      <c r="B90" s="83">
        <f ca="1">ROUND([1]!stdnum_E($C$85),-D80)</f>
        <v>1440310</v>
      </c>
      <c r="C90" s="84"/>
      <c r="D90" s="78"/>
      <c r="F90" s="111">
        <f ca="1">ROUND([1]!stdnum_E($G$85),-D81)</f>
        <v>172000</v>
      </c>
      <c r="G90" s="84"/>
      <c r="H90" s="78"/>
      <c r="J90" s="111">
        <f ca="1">ROUND([1]!onepair_E($K$85),-D82)</f>
        <v>8600</v>
      </c>
      <c r="K90" s="84" t="str">
        <f ca="1">[1]!onepair_E2($K$85)</f>
        <v>shortfall</v>
      </c>
      <c r="L90" s="78"/>
    </row>
    <row r="91" spans="1:12" ht="16" thickTop="1" x14ac:dyDescent="0.35"/>
    <row r="93" spans="1:12" x14ac:dyDescent="0.35">
      <c r="A93" s="120" t="s">
        <v>2892</v>
      </c>
    </row>
    <row r="94" spans="1:12" x14ac:dyDescent="0.35">
      <c r="A94" s="407" t="s">
        <v>3629</v>
      </c>
      <c r="B94" s="407"/>
      <c r="F94" s="147" t="s">
        <v>3153</v>
      </c>
      <c r="G94" s="62">
        <f ca="1">INDEX(ThreeFromFive,RANDBETWEEN(1,60))</f>
        <v>451</v>
      </c>
    </row>
    <row r="95" spans="1:12" x14ac:dyDescent="0.35">
      <c r="A95" s="4" t="str">
        <f ca="1">INDEX(F95:F99,MID(G94,1,1))</f>
        <v>koruna</v>
      </c>
      <c r="B95" s="2" t="s">
        <v>3651</v>
      </c>
      <c r="F95" s="2" t="s">
        <v>2436</v>
      </c>
    </row>
    <row r="96" spans="1:12" x14ac:dyDescent="0.35">
      <c r="A96" s="4" t="str">
        <f ca="1">INDEX(F95:F99,MID(G94,2,1))</f>
        <v>marrka</v>
      </c>
      <c r="B96" s="2" t="s">
        <v>3652</v>
      </c>
      <c r="F96" s="2" t="s">
        <v>3368</v>
      </c>
    </row>
    <row r="97" spans="1:6" x14ac:dyDescent="0.35">
      <c r="A97" s="4" t="str">
        <f ca="1">INDEX(F95:F99,MID(G94,3,1))</f>
        <v>dinar</v>
      </c>
      <c r="B97" s="2" t="s">
        <v>632</v>
      </c>
      <c r="F97" s="2" t="s">
        <v>2902</v>
      </c>
    </row>
    <row r="98" spans="1:6" x14ac:dyDescent="0.35">
      <c r="A98" s="115">
        <f ca="1">RANDBETWEEN(40,100)/10</f>
        <v>6.3</v>
      </c>
      <c r="B98" s="2" t="s">
        <v>634</v>
      </c>
      <c r="F98" s="2" t="s">
        <v>1496</v>
      </c>
    </row>
    <row r="99" spans="1:6" x14ac:dyDescent="0.35">
      <c r="A99" s="115">
        <f ca="1">ROUND((1+RANDBETWEEN(26,35)/100)^(IF(RANDBETWEEN(0,1)=0,1,-1))*A98,2)</f>
        <v>8.32</v>
      </c>
      <c r="B99" s="2" t="s">
        <v>2583</v>
      </c>
      <c r="F99" s="2" t="s">
        <v>1497</v>
      </c>
    </row>
    <row r="100" spans="1:6" x14ac:dyDescent="0.35">
      <c r="A100" s="115">
        <f ca="1">ROUND(A101*IF(RANDBETWEEN(0,1)=0,(1+RANDBETWEEN(8,13)/100)^(IF(RANDBETWEEN(0,1)=0,1,-1)),(1+RANDBETWEEN(16,25)/100)^(IF(RANDBETWEEN(0,1)=0,1,-1))),2)</f>
        <v>0.91</v>
      </c>
      <c r="B100" s="2" t="s">
        <v>2796</v>
      </c>
      <c r="E100" s="11" t="s">
        <v>3311</v>
      </c>
      <c r="F100" s="11" t="s">
        <v>3312</v>
      </c>
    </row>
    <row r="101" spans="1:6" x14ac:dyDescent="0.35">
      <c r="A101" s="233">
        <f ca="1">A98/A99</f>
        <v>0.75721153846153844</v>
      </c>
      <c r="B101" s="2" t="s">
        <v>2584</v>
      </c>
      <c r="E101" s="2" t="str">
        <f ca="1">IF(A101&gt;A100,"undervalued","overvalued")</f>
        <v>overvalued</v>
      </c>
      <c r="F101" s="2" t="str">
        <f ca="1">IF(A101&lt;A100,"undervalued","overvalued")</f>
        <v>undervalued</v>
      </c>
    </row>
    <row r="102" spans="1:6" x14ac:dyDescent="0.35">
      <c r="A102" s="233">
        <f ca="1">A99*A100</f>
        <v>7.5712000000000002</v>
      </c>
      <c r="B102" s="2" t="s">
        <v>3309</v>
      </c>
      <c r="E102" s="2" t="str">
        <f ca="1">IF(A102&gt;A98,"undervalued","overvalued")</f>
        <v>undervalued</v>
      </c>
      <c r="F102" s="2" t="str">
        <f ca="1">IF(A102&lt;A98,"undervalued","overvalued")</f>
        <v>overvalued</v>
      </c>
    </row>
    <row r="103" spans="1:6" x14ac:dyDescent="0.35">
      <c r="A103" s="233">
        <f ca="1">A98/A100</f>
        <v>6.9230769230769225</v>
      </c>
      <c r="B103" s="2" t="s">
        <v>3310</v>
      </c>
      <c r="E103" s="2" t="str">
        <f ca="1">IF(A103&gt;A99,"undervalued","overvalued")</f>
        <v>overvalued</v>
      </c>
      <c r="F103" s="2" t="str">
        <f ca="1">IF(A103&lt;A99,"undervalued","overvalued")</f>
        <v>undervalued</v>
      </c>
    </row>
    <row r="105" spans="1:6" x14ac:dyDescent="0.35">
      <c r="B105" s="2" t="s">
        <v>30</v>
      </c>
      <c r="C105" s="2" t="str">
        <f ca="1">"the " &amp; A96 &amp; " is " &amp; E101 &amp; " relative to the " &amp; A97</f>
        <v>the marrka is overvalued relative to the dinar</v>
      </c>
    </row>
    <row r="106" spans="1:6" x14ac:dyDescent="0.35">
      <c r="B106" s="2" t="s">
        <v>1105</v>
      </c>
      <c r="C106" s="2" t="str">
        <f ca="1">"the " &amp; A96 &amp; " is " &amp; F101 &amp; " relative to the " &amp; A97</f>
        <v>the marrka is undervalued relative to the dinar</v>
      </c>
    </row>
    <row r="107" spans="1:6" x14ac:dyDescent="0.35">
      <c r="B107" s="2" t="s">
        <v>1573</v>
      </c>
      <c r="C107" s="2" t="str">
        <f ca="1">"the " &amp; A96 &amp; " is " &amp; E102 &amp; " relative to the " &amp; A95</f>
        <v>the marrka is undervalued relative to the koruna</v>
      </c>
    </row>
    <row r="108" spans="1:6" x14ac:dyDescent="0.35">
      <c r="B108" s="2" t="s">
        <v>1607</v>
      </c>
      <c r="C108" s="2" t="str">
        <f ca="1">"the " &amp; A96 &amp; " is " &amp; F102 &amp; " relative to the " &amp; A95</f>
        <v>the marrka is overvalued relative to the koruna</v>
      </c>
    </row>
    <row r="109" spans="1:6" x14ac:dyDescent="0.35">
      <c r="B109" s="2" t="s">
        <v>2352</v>
      </c>
      <c r="C109" s="2" t="str">
        <f ca="1">"the " &amp; A97 &amp; " is " &amp; E103 &amp; " relative to the " &amp; A95</f>
        <v>the dinar is overvalued relative to the koruna</v>
      </c>
    </row>
    <row r="110" spans="1:6" x14ac:dyDescent="0.35">
      <c r="B110" s="2" t="s">
        <v>3406</v>
      </c>
      <c r="C110" s="2" t="str">
        <f ca="1">"the " &amp; A97 &amp; " is " &amp; F103 &amp; " relative to the " &amp; A95</f>
        <v>the dinar is undervalued relative to the koruna</v>
      </c>
    </row>
    <row r="111" spans="1:6" ht="16" thickBot="1" x14ac:dyDescent="0.4"/>
    <row r="112" spans="1:6" ht="16.5" thickTop="1" thickBot="1" x14ac:dyDescent="0.4">
      <c r="B112" s="76" t="str">
        <f ca="1">[1]!alpha_ans($C$112)</f>
        <v>C</v>
      </c>
      <c r="C112" s="79" t="str">
        <f ca="1" xml:space="preserve"> "/\" &amp;RANDBETWEEN( 1,5) &amp; "/\" &amp;RANDBETWEEN( 1,3) &amp; "/\" &amp;RANDBETWEEN( 1,2) &amp; "/\" &amp;C105 &amp; "/\" &amp; C106 &amp; "/\" &amp; C107 &amp; "/\" &amp; C108 &amp; "/\" &amp; C109 &amp; "/\" &amp; C110</f>
        <v>/\3/\1/\2/\the marrka is overvalued relative to the dinar/\the marrka is undervalued relative to the dinar/\the marrka is undervalued relative to the koruna/\the marrka is overvalued relative to the koruna/\the dinar is overvalued relative to the koruna/\the dinar is undervalued relative to the koruna</v>
      </c>
      <c r="D112" s="80" t="s">
        <v>3494</v>
      </c>
    </row>
    <row r="113" spans="1:13" ht="16" thickTop="1" x14ac:dyDescent="0.35">
      <c r="B113" s="81" t="str">
        <f ca="1">[1]!complexV_A($C$112)</f>
        <v>the marrka is undervalued relative to the dinar</v>
      </c>
      <c r="C113" s="82"/>
      <c r="D113" s="77"/>
    </row>
    <row r="114" spans="1:13" x14ac:dyDescent="0.35">
      <c r="B114" s="81" t="str">
        <f ca="1">[1]!complexV_B($C$112)</f>
        <v>the marrka is overvalued relative to the koruna</v>
      </c>
      <c r="C114" s="82"/>
      <c r="D114" s="77"/>
    </row>
    <row r="115" spans="1:13" x14ac:dyDescent="0.35">
      <c r="B115" s="81" t="str">
        <f ca="1">[1]!complexV_C($C$112)</f>
        <v>the dinar is overvalued relative to the koruna</v>
      </c>
      <c r="C115" s="82"/>
      <c r="D115" s="77"/>
    </row>
    <row r="116" spans="1:13" x14ac:dyDescent="0.35">
      <c r="B116" s="81" t="str">
        <f ca="1">[1]!complexV_D($C$112)</f>
        <v>Two choices, A and B, are correct</v>
      </c>
      <c r="C116" s="82"/>
      <c r="D116" s="77"/>
    </row>
    <row r="117" spans="1:13" ht="16" thickBot="1" x14ac:dyDescent="0.4">
      <c r="B117" s="83" t="str">
        <f ca="1">[1]!complexV_E($C$112)</f>
        <v>None of the A-B-C choices are correct</v>
      </c>
      <c r="C117" s="84"/>
      <c r="D117" s="78"/>
    </row>
    <row r="118" spans="1:13" ht="16" thickTop="1" x14ac:dyDescent="0.35"/>
    <row r="120" spans="1:13" x14ac:dyDescent="0.35">
      <c r="A120" s="88" t="s">
        <v>617</v>
      </c>
    </row>
    <row r="121" spans="1:13" x14ac:dyDescent="0.35">
      <c r="A121" s="407" t="s">
        <v>3629</v>
      </c>
      <c r="B121" s="407"/>
      <c r="F121" s="147" t="s">
        <v>3153</v>
      </c>
      <c r="G121" s="62">
        <f ca="1">INDEX(ThreeFromFive,RANDBETWEEN(1,60))</f>
        <v>312</v>
      </c>
    </row>
    <row r="122" spans="1:13" x14ac:dyDescent="0.35">
      <c r="A122" s="4" t="str">
        <f ca="1">INDEX(F122:F126,MID(G121,1,1))</f>
        <v>peso</v>
      </c>
      <c r="B122" s="2" t="s">
        <v>35</v>
      </c>
      <c r="F122" s="2" t="s">
        <v>1592</v>
      </c>
      <c r="I122" s="407" t="s">
        <v>3630</v>
      </c>
      <c r="J122" s="407"/>
      <c r="K122" s="407"/>
      <c r="L122" s="407"/>
      <c r="M122" s="407"/>
    </row>
    <row r="123" spans="1:13" x14ac:dyDescent="0.35">
      <c r="A123" s="4" t="str">
        <f ca="1">INDEX(F122:F126,MID(G121,2,1))</f>
        <v>rupee</v>
      </c>
      <c r="B123" s="2" t="s">
        <v>36</v>
      </c>
      <c r="F123" s="2" t="s">
        <v>2024</v>
      </c>
      <c r="H123" s="2">
        <f ca="1">RANDBETWEEN(0,1)</f>
        <v>1</v>
      </c>
      <c r="I123" s="6" t="s">
        <v>1977</v>
      </c>
      <c r="J123" s="2" t="str">
        <f ca="1">IF(H123=0,"appreciate","depreciate")</f>
        <v>depreciate</v>
      </c>
      <c r="K123" s="23">
        <f ca="1">5*RANDBETWEEN(1,6)/100</f>
        <v>0.3</v>
      </c>
      <c r="L123" s="115">
        <f ca="1">A125*(1+K123*IF(H123=0,1,-1))</f>
        <v>5.7399999999999993</v>
      </c>
      <c r="M123" s="2" t="s">
        <v>1978</v>
      </c>
    </row>
    <row r="124" spans="1:13" x14ac:dyDescent="0.35">
      <c r="A124" s="4" t="str">
        <f ca="1">INDEX(F122:F126,MID(G121,3,1))</f>
        <v>bhat</v>
      </c>
      <c r="B124" s="2" t="s">
        <v>37</v>
      </c>
      <c r="F124" s="2" t="s">
        <v>472</v>
      </c>
      <c r="H124" s="2">
        <f ca="1">RANDBETWEEN(0,1)</f>
        <v>0</v>
      </c>
      <c r="I124" s="6" t="s">
        <v>3155</v>
      </c>
      <c r="J124" s="2" t="str">
        <f ca="1">IF(H124=0,"appreciate","depreciate")</f>
        <v>appreciate</v>
      </c>
      <c r="K124" s="23">
        <f ca="1">IF(AND(J123=J124,K123=J126),J126+0.05,J126)</f>
        <v>0.25</v>
      </c>
      <c r="L124" s="115">
        <f ca="1">A126*(1+K124*IF(H124=0,1,-1))</f>
        <v>7.1125000000000007</v>
      </c>
      <c r="M124" s="2" t="s">
        <v>1979</v>
      </c>
    </row>
    <row r="125" spans="1:13" x14ac:dyDescent="0.35">
      <c r="A125" s="115">
        <f ca="1">RANDBETWEEN(40,100)/10</f>
        <v>8.1999999999999993</v>
      </c>
      <c r="B125" s="2" t="s">
        <v>38</v>
      </c>
      <c r="F125" s="2" t="s">
        <v>1725</v>
      </c>
      <c r="L125" s="115">
        <f ca="1">IF(MAX(L123/L124,L124/L123)&gt;1.04,L123/L124,"#RECALCULATE")</f>
        <v>0.80702987697715267</v>
      </c>
      <c r="M125" s="2" t="s">
        <v>41</v>
      </c>
    </row>
    <row r="126" spans="1:13" x14ac:dyDescent="0.35">
      <c r="A126" s="115">
        <f ca="1">ROUND((1+RANDBETWEEN(36,45)/100)^(IF(RANDBETWEEN(0,1)=0,1,-1))*A125,2)</f>
        <v>5.69</v>
      </c>
      <c r="B126" s="2" t="s">
        <v>39</v>
      </c>
      <c r="E126" s="4">
        <f ca="1">RANDBETWEEN(0,1)</f>
        <v>0</v>
      </c>
      <c r="F126" s="2" t="s">
        <v>2435</v>
      </c>
      <c r="J126" s="23">
        <f ca="1">5*RANDBETWEEN(1,6)/100</f>
        <v>0.25</v>
      </c>
      <c r="K126" s="4">
        <f ca="1">RANDBETWEEN(0,1)</f>
        <v>1</v>
      </c>
      <c r="L126" s="115">
        <f ca="1">L124/L123</f>
        <v>1.2391114982578399</v>
      </c>
      <c r="M126" s="2" t="s">
        <v>40</v>
      </c>
    </row>
    <row r="127" spans="1:13" x14ac:dyDescent="0.35">
      <c r="A127" s="115">
        <f ca="1">A125/A126</f>
        <v>1.4411247803163443</v>
      </c>
      <c r="B127" s="2" t="s">
        <v>41</v>
      </c>
      <c r="E127" s="6" t="s">
        <v>1657</v>
      </c>
      <c r="F127" s="2" t="str">
        <f ca="1" xml:space="preserve"> "the price for one " &amp; IF(E126=0,A123,A124) &amp; " probably is "&amp; ROUND(IF(E126=0,A127,A128),2) &amp; " " &amp; IF(E126=0,A124,A123)</f>
        <v>the price for one rupee probably is 1.44 bhat</v>
      </c>
      <c r="K127" s="6" t="s">
        <v>1657</v>
      </c>
      <c r="L127" s="2" t="str">
        <f ca="1" xml:space="preserve"> "the price for one " &amp; IF(E126=0,A123,A124) &amp; " probably will be "&amp; ROUND(IF(E126=0,L125,L126),2) &amp; " " &amp; IF(E126=0,A124,A123)</f>
        <v>the price for one rupee probably will be 0.81 bhat</v>
      </c>
    </row>
    <row r="128" spans="1:13" x14ac:dyDescent="0.35">
      <c r="A128" s="115">
        <f ca="1">A126/A125</f>
        <v>0.69390243902439031</v>
      </c>
      <c r="B128" s="2" t="s">
        <v>40</v>
      </c>
      <c r="E128" s="6" t="s">
        <v>1299</v>
      </c>
      <c r="F128" s="2" t="str">
        <f ca="1" xml:space="preserve"> "the price for one " &amp; IF(E126=0,A123,A124) &amp; " probably is "&amp; ROUND(IF(E126=1,A127,A128),2) &amp; " " &amp; IF(E126=0,A124,A123)</f>
        <v>the price for one rupee probably is 0.69 bhat</v>
      </c>
      <c r="K128" s="6" t="s">
        <v>1299</v>
      </c>
      <c r="L128" s="2" t="str">
        <f ca="1" xml:space="preserve"> "the price for one " &amp; IF(E126=0,A123,A124) &amp; " probably will be "&amp; ROUND(IF(E126=1,L125,L126),2) &amp; " " &amp; IF(E126=0,A124,A123)</f>
        <v>the price for one rupee probably will be 1.24 bhat</v>
      </c>
    </row>
    <row r="129" spans="1:12" x14ac:dyDescent="0.35">
      <c r="A129" s="115">
        <f ca="1">IF(ABS(A128-C129)&lt;0.05,A127/vMask10,C129)</f>
        <v>1.2753316639967649</v>
      </c>
      <c r="B129" s="2" t="s">
        <v>3154</v>
      </c>
      <c r="C129" s="115">
        <f ca="1">vMask10*A127</f>
        <v>1.2753316639967649</v>
      </c>
      <c r="F129" s="62" t="str">
        <f ca="1" xml:space="preserve"> "the price for one " &amp; IF(E126=0,A123,A124) &amp; " probably is "&amp; ROUND(A129,2) &amp; " " &amp; IF(E126=0,A124,A123)</f>
        <v>the price for one rupee probably is 1.28 bhat</v>
      </c>
      <c r="G129" s="62"/>
      <c r="L129" s="2" t="str">
        <f ca="1" xml:space="preserve"> "the price for one " &amp; IF(E126=0,A123,A124) &amp; " probably will be "&amp; IF(K126=0,ROUND(A127,2),ROUND(A128,2)) &amp; " " &amp; IF(E126=0,A124,A123)</f>
        <v>the price for one rupee probably will be 0.69 bhat</v>
      </c>
    </row>
    <row r="130" spans="1:12" x14ac:dyDescent="0.35">
      <c r="A130" s="20"/>
      <c r="B130" s="4"/>
      <c r="C130" s="4" t="str">
        <f ca="1">A123</f>
        <v>rupee</v>
      </c>
      <c r="D130" s="4" t="str">
        <f ca="1">A124</f>
        <v>bhat</v>
      </c>
      <c r="F130" s="124" t="str">
        <f ca="1" xml:space="preserve"> "the price for one " &amp; IF(E126=1,A123,A124) &amp; " probably is "&amp; ROUND(A129,2) &amp; " " &amp; IF(E126=1,A124,A123)</f>
        <v>the price for one bhat probably is 1.28 rupee</v>
      </c>
      <c r="G130" s="133"/>
      <c r="H130" s="17"/>
      <c r="I130" s="114"/>
      <c r="L130" s="2" t="str">
        <f ca="1" xml:space="preserve"> "the price for one " &amp; IF(E126=1,A123,A124) &amp; " probably will be "&amp;  IF(K126=0,ROUND(A127,2),ROUND(A128,2)) &amp; " " &amp; IF(E126=1,A124,A123)</f>
        <v>the price for one bhat probably will be 0.69 rupee</v>
      </c>
    </row>
    <row r="131" spans="1:12" x14ac:dyDescent="0.35">
      <c r="B131" s="4" t="str">
        <f ca="1">A122</f>
        <v>peso</v>
      </c>
      <c r="C131" s="115">
        <f ca="1">A125</f>
        <v>8.1999999999999993</v>
      </c>
      <c r="D131" s="115">
        <f ca="1">A126</f>
        <v>5.69</v>
      </c>
      <c r="F131" s="124" t="str">
        <f ca="1" xml:space="preserve"> "the price for one " &amp; IF(E126=1,A123,A124) &amp; " probably is "&amp; ROUND(IF(E126=0,A127,A128),2) &amp; " " &amp; IF(E126=1,A124,A123)</f>
        <v>the price for one bhat probably is 1.44 rupee</v>
      </c>
      <c r="G131" s="133"/>
      <c r="H131" s="17"/>
      <c r="L131" s="2" t="str">
        <f ca="1" xml:space="preserve"> "the price for one " &amp; IF(E126=1,A123,A124) &amp; " probably will be "&amp; ROUND(IF(E126=0,L125,L126),2) &amp; " " &amp; IF(E126=1,A124,A123)</f>
        <v>the price for one bhat probably will be 0.81 rupee</v>
      </c>
    </row>
    <row r="133" spans="1:12" ht="16" thickBot="1" x14ac:dyDescent="0.4">
      <c r="B133" s="120" t="s">
        <v>2165</v>
      </c>
      <c r="G133" s="120" t="s">
        <v>2167</v>
      </c>
    </row>
    <row r="134" spans="1:12" ht="16.5" thickTop="1" thickBot="1" x14ac:dyDescent="0.4">
      <c r="B134" s="76" t="str">
        <f ca="1">[1]!std_ans($C$134)</f>
        <v>B</v>
      </c>
      <c r="C134" s="79" t="str">
        <f ca="1" xml:space="preserve"> "/\" &amp;RANDBETWEEN( 1,120) &amp; "/\" &amp; F127 &amp; "/\" &amp; F128 &amp; "/\" &amp; F129 &amp; "/\" &amp; F130 &amp; "/\" &amp; F131</f>
        <v>/\73/\the price for one rupee probably is 1.44 bhat/\the price for one rupee probably is 0.69 bhat/\the price for one rupee probably is 1.28 bhat/\the price for one bhat probably is 1.28 rupee/\the price for one bhat probably is 1.44 rupee</v>
      </c>
      <c r="D134" s="80" t="s">
        <v>2166</v>
      </c>
      <c r="F134" s="133"/>
      <c r="G134" s="76" t="str">
        <f ca="1">[1]!std_ans($H$134)</f>
        <v>D</v>
      </c>
      <c r="H134" s="79" t="str">
        <f ca="1" xml:space="preserve"> "/\" &amp;RANDBETWEEN( 1,120) &amp; "/\" &amp; L127 &amp; "/\" &amp; L128 &amp; "/\" &amp; L129 &amp; "/\" &amp; L130 &amp; "/\" &amp; L131</f>
        <v>/\41/\the price for one rupee probably will be 0.81 bhat/\the price for one rupee probably will be 1.24 bhat/\the price for one rupee probably will be 0.69 bhat/\the price for one bhat probably will be 0.69 rupee/\the price for one bhat probably will be 0.81 rupee</v>
      </c>
      <c r="I134" s="80" t="s">
        <v>2168</v>
      </c>
    </row>
    <row r="135" spans="1:12" ht="16" thickTop="1" x14ac:dyDescent="0.35">
      <c r="B135" s="81" t="str">
        <f ca="1">[1]!simpleV_A($C$134)</f>
        <v>the price for one bhat probably is 1.28 rupee</v>
      </c>
      <c r="C135" s="82"/>
      <c r="D135" s="77"/>
      <c r="F135" s="235"/>
      <c r="G135" s="81" t="str">
        <f ca="1">[1]!simpleV_A($H$134)</f>
        <v>the price for one rupee probably will be 1.24 bhat</v>
      </c>
      <c r="H135" s="82"/>
      <c r="I135" s="77"/>
    </row>
    <row r="136" spans="1:12" x14ac:dyDescent="0.35">
      <c r="B136" s="81" t="str">
        <f ca="1">[1]!simpleV_B($C$134)</f>
        <v>the price for one rupee probably is 1.44 bhat</v>
      </c>
      <c r="C136" s="82"/>
      <c r="D136" s="77"/>
      <c r="F136" s="117"/>
      <c r="G136" s="81" t="str">
        <f ca="1">[1]!simpleV_B($H$134)</f>
        <v>the price for one bhat probably will be 0.69 rupee</v>
      </c>
      <c r="H136" s="168"/>
      <c r="I136" s="199"/>
    </row>
    <row r="137" spans="1:12" x14ac:dyDescent="0.35">
      <c r="B137" s="81" t="str">
        <f ca="1">[1]!simpleV_C($C$134)</f>
        <v>the price for one rupee probably is 0.69 bhat</v>
      </c>
      <c r="C137" s="82"/>
      <c r="D137" s="77"/>
      <c r="F137" s="236"/>
      <c r="G137" s="81" t="str">
        <f ca="1">[1]!simpleV_C($H$134)</f>
        <v>the price for one bhat probably will be 0.81 rupee</v>
      </c>
      <c r="H137" s="168"/>
      <c r="I137" s="199"/>
    </row>
    <row r="138" spans="1:12" x14ac:dyDescent="0.35">
      <c r="B138" s="81" t="str">
        <f ca="1">[1]!simpleV_D($C$134)</f>
        <v>the price for one rupee probably is 1.28 bhat</v>
      </c>
      <c r="C138" s="82"/>
      <c r="D138" s="77"/>
      <c r="F138" s="236"/>
      <c r="G138" s="81" t="str">
        <f ca="1">[1]!simpleV_D($H$134)</f>
        <v>the price for one rupee probably will be 0.81 bhat</v>
      </c>
      <c r="H138" s="168"/>
      <c r="I138" s="199"/>
    </row>
    <row r="139" spans="1:12" ht="16" thickBot="1" x14ac:dyDescent="0.4">
      <c r="B139" s="83" t="str">
        <f ca="1">[1]!simpleV_E($C$134)</f>
        <v>the price for one bhat probably is 1.44 rupee</v>
      </c>
      <c r="C139" s="84"/>
      <c r="D139" s="78"/>
      <c r="G139" s="83" t="str">
        <f ca="1">[1]!simpleV_E($H$134)</f>
        <v>the price for one rupee probably will be 0.69 bhat</v>
      </c>
      <c r="H139" s="170"/>
      <c r="I139" s="237"/>
    </row>
    <row r="140" spans="1:12" ht="16" thickTop="1" x14ac:dyDescent="0.35">
      <c r="H140" s="238"/>
      <c r="I140" s="26"/>
    </row>
    <row r="142" spans="1:12" x14ac:dyDescent="0.35">
      <c r="A142" s="88" t="s">
        <v>1581</v>
      </c>
    </row>
    <row r="143" spans="1:12" x14ac:dyDescent="0.35">
      <c r="A143" s="407" t="s">
        <v>3629</v>
      </c>
      <c r="B143" s="407"/>
    </row>
    <row r="144" spans="1:12" x14ac:dyDescent="0.35">
      <c r="A144" s="4" t="str">
        <f ca="1">INDEX(F145:F149,MID(G144,1,1))</f>
        <v>marrka</v>
      </c>
      <c r="B144" s="2" t="s">
        <v>35</v>
      </c>
      <c r="F144" s="147" t="s">
        <v>3153</v>
      </c>
      <c r="G144" s="62">
        <f ca="1">INDEX(ThreeFromFive,RANDBETWEEN(1,60))</f>
        <v>532</v>
      </c>
    </row>
    <row r="145" spans="1:14" x14ac:dyDescent="0.35">
      <c r="A145" s="4" t="str">
        <f ca="1">INDEX(F145:F149,MID(G144,2,1))</f>
        <v>yuan</v>
      </c>
      <c r="B145" s="2" t="s">
        <v>36</v>
      </c>
      <c r="F145" s="2" t="s">
        <v>2436</v>
      </c>
    </row>
    <row r="146" spans="1:14" x14ac:dyDescent="0.35">
      <c r="A146" s="4" t="str">
        <f ca="1">INDEX(F145:F149,MID(G144,3,1))</f>
        <v>franc</v>
      </c>
      <c r="B146" s="2" t="s">
        <v>37</v>
      </c>
      <c r="F146" s="2" t="s">
        <v>3368</v>
      </c>
    </row>
    <row r="147" spans="1:14" x14ac:dyDescent="0.35">
      <c r="A147" s="115">
        <f ca="1">RANDBETWEEN(40,100)/10</f>
        <v>7.1</v>
      </c>
      <c r="B147" s="2" t="s">
        <v>38</v>
      </c>
      <c r="F147" s="2" t="s">
        <v>2902</v>
      </c>
    </row>
    <row r="148" spans="1:14" x14ac:dyDescent="0.35">
      <c r="A148" s="115">
        <f ca="1">ROUND((1+RANDBETWEEN(26,35)/100)^(IF(RANDBETWEEN(0,1)=0,1,-1))*A147,2)</f>
        <v>5.38</v>
      </c>
      <c r="B148" s="2" t="s">
        <v>39</v>
      </c>
      <c r="F148" s="2" t="s">
        <v>1496</v>
      </c>
    </row>
    <row r="149" spans="1:14" x14ac:dyDescent="0.35">
      <c r="A149" s="233">
        <f ca="1">A147/A148</f>
        <v>1.3197026022304832</v>
      </c>
      <c r="B149" s="2" t="s">
        <v>41</v>
      </c>
      <c r="F149" s="2" t="s">
        <v>1497</v>
      </c>
    </row>
    <row r="150" spans="1:14" x14ac:dyDescent="0.35">
      <c r="A150" s="233">
        <f ca="1">A148/A147</f>
        <v>0.75774647887323943</v>
      </c>
      <c r="B150" s="2" t="s">
        <v>40</v>
      </c>
    </row>
    <row r="151" spans="1:14" x14ac:dyDescent="0.35">
      <c r="A151" s="115">
        <f ca="1">ROUND(A149*IF(RANDBETWEEN(0,1)=0,(1+RANDBETWEEN(8,13)/100)^(IF(RANDBETWEEN(0,1)=0,1,-1)),(1+RANDBETWEEN(16,25)/100)^(IF(RANDBETWEEN(0,1)=0,1,-1))),2)</f>
        <v>1.61</v>
      </c>
      <c r="B151" s="2" t="s">
        <v>2885</v>
      </c>
    </row>
    <row r="152" spans="1:14" x14ac:dyDescent="0.35">
      <c r="A152" s="2" t="str">
        <f ca="1">IF(A149&gt;A151,"overvalued","undervalued")</f>
        <v>undervalued</v>
      </c>
      <c r="B152" s="2" t="s">
        <v>2886</v>
      </c>
      <c r="D152" s="14"/>
      <c r="E152" s="14">
        <f ca="1">MAX(A149/A151,A151/A149)-1</f>
        <v>0.21997183098591555</v>
      </c>
      <c r="F152" s="2" t="s">
        <v>3717</v>
      </c>
    </row>
    <row r="153" spans="1:14" x14ac:dyDescent="0.35">
      <c r="A153" s="2" t="str">
        <f ca="1">IF(A149&lt;A151,"overvalued","undervalued")</f>
        <v>overvalued</v>
      </c>
      <c r="B153" s="2" t="s">
        <v>2887</v>
      </c>
      <c r="D153" s="14"/>
    </row>
    <row r="155" spans="1:14" x14ac:dyDescent="0.35">
      <c r="D155" s="100" t="str">
        <f ca="1">A144</f>
        <v>marrka</v>
      </c>
      <c r="E155" s="100" t="s">
        <v>35</v>
      </c>
      <c r="G155" s="4">
        <f ca="1">RANDBETWEEN(0,1)</f>
        <v>1</v>
      </c>
      <c r="K155" s="236"/>
      <c r="M155" s="4" t="s">
        <v>1583</v>
      </c>
      <c r="N155" s="2" t="str">
        <f ca="1">IF(G162=H159,H158,I158)</f>
        <v>yuan</v>
      </c>
    </row>
    <row r="156" spans="1:14" x14ac:dyDescent="0.35">
      <c r="C156" s="239" t="s">
        <v>1412</v>
      </c>
      <c r="D156" s="407" t="s">
        <v>1413</v>
      </c>
      <c r="E156" s="407"/>
      <c r="G156" s="2" t="s">
        <v>1579</v>
      </c>
      <c r="H156" s="2" t="s">
        <v>372</v>
      </c>
      <c r="I156" s="2" t="s">
        <v>3178</v>
      </c>
      <c r="N156" s="2" t="str">
        <f ca="1">IF(G163=H159,H158,I158)</f>
        <v>franc</v>
      </c>
    </row>
    <row r="157" spans="1:14" x14ac:dyDescent="0.35">
      <c r="C157" s="147" t="str">
        <f ca="1">A145</f>
        <v>yuan</v>
      </c>
      <c r="D157" s="114">
        <f ca="1">A147</f>
        <v>7.1</v>
      </c>
      <c r="E157" s="17"/>
      <c r="G157" s="117">
        <f ca="1">IF(G155=0,A149,A150)</f>
        <v>0.75774647887323943</v>
      </c>
      <c r="H157" s="133" t="str">
        <f ca="1">IF(G155=0,A146,A145)</f>
        <v>yuan</v>
      </c>
      <c r="I157" s="2" t="str">
        <f ca="1">IF(G155=1,A146,A145)</f>
        <v>franc</v>
      </c>
      <c r="N157" s="2" t="str">
        <f ca="1">IF(G164=H159,H158,I158)</f>
        <v>yuan</v>
      </c>
    </row>
    <row r="158" spans="1:14" x14ac:dyDescent="0.35">
      <c r="C158" s="147" t="str">
        <f ca="1">A146</f>
        <v>franc</v>
      </c>
      <c r="D158" s="114">
        <f ca="1">A148</f>
        <v>5.38</v>
      </c>
      <c r="H158" s="133" t="str">
        <f ca="1">IF(G155=0,A145,A146)</f>
        <v>franc</v>
      </c>
      <c r="I158" s="2" t="str">
        <f ca="1">IF(G155=1,A145,A146)</f>
        <v>yuan</v>
      </c>
      <c r="N158" s="2" t="str">
        <f ca="1">IF(G165=H159,H158,I158)</f>
        <v>franc</v>
      </c>
    </row>
    <row r="159" spans="1:14" x14ac:dyDescent="0.35">
      <c r="G159" s="4" t="s">
        <v>1583</v>
      </c>
      <c r="H159" s="2" t="str">
        <f ca="1">H157&amp;" and the "&amp;H157&amp;" is relatively "&amp;IF(G155=0,A152,A153)</f>
        <v>yuan and the yuan is relatively overvalued</v>
      </c>
      <c r="I159" s="2" t="str">
        <f ca="1">I157&amp;" and the "&amp;I157&amp;" is relatively "&amp;IF(G155=1,A152,A153)</f>
        <v>franc and the franc is relatively undervalued</v>
      </c>
      <c r="N159" s="2" t="str">
        <f ca="1">IF(G166=H159,H158,I158)</f>
        <v>yuan</v>
      </c>
    </row>
    <row r="160" spans="1:14" ht="16" thickBot="1" x14ac:dyDescent="0.4">
      <c r="B160" s="120" t="s">
        <v>1580</v>
      </c>
      <c r="F160" s="120" t="s">
        <v>1584</v>
      </c>
      <c r="K160" s="120" t="s">
        <v>1586</v>
      </c>
    </row>
    <row r="161" spans="1:13" ht="16.5" thickTop="1" thickBot="1" x14ac:dyDescent="0.4">
      <c r="B161" s="76" t="str">
        <f ca="1">[1]!std_ans($C$161)</f>
        <v>D</v>
      </c>
      <c r="C161" s="79" t="str">
        <f ca="1" xml:space="preserve"> "/\" &amp;RANDBETWEEN( 1,120) &amp; "/\" &amp;RANDBETWEEN( 1,120) &amp; "/\" &amp;0.1 &amp; "/\" &amp; G157</f>
        <v>/\65/\3/\0.1/\0.757746478873239</v>
      </c>
      <c r="D161" s="80" t="s">
        <v>1582</v>
      </c>
      <c r="F161" s="76" t="str">
        <f ca="1">[1]!alpha_ans($G$161)</f>
        <v>B</v>
      </c>
      <c r="G161" s="79" t="str">
        <f ca="1" xml:space="preserve"> "/\" &amp;RANDBETWEEN( 1,5) &amp; "/\" &amp;RANDBETWEEN( 1,120) &amp; "/\" &amp;RANDBETWEEN( 1,6) &amp; "/\" &amp;RANDBETWEEN( 1,2) &amp; "/\" &amp; G157 &amp; "/\" &amp; "Mask" &amp; "/\" &amp; "Mask" &amp; "/\" &amp; H159 &amp; "/\" &amp; I159</f>
        <v>/\2/\61/\6/\2/\0.757746478873239/\Mask/\Mask/\yuan and the yuan is relatively overvalued/\franc and the franc is relatively undervalued</v>
      </c>
      <c r="H161" s="80" t="s">
        <v>1585</v>
      </c>
      <c r="K161" s="76" t="str">
        <f ca="1">[1]!std_ans($L$161)</f>
        <v>A</v>
      </c>
      <c r="L161" s="79" t="str">
        <f ca="1" xml:space="preserve"> "/\" &amp;RANDBETWEEN( 1,120) &amp; "/\" &amp;RANDBETWEEN( 1,120) &amp; "/\" &amp;0.1 &amp; "/\" &amp; E152</f>
        <v>/\16/\15/\0.1/\0.219971830985916</v>
      </c>
      <c r="M161" s="80" t="s">
        <v>1587</v>
      </c>
    </row>
    <row r="162" spans="1:13" ht="16" thickTop="1" x14ac:dyDescent="0.35">
      <c r="B162" s="116">
        <f ca="1">[1]!stdnum_A($C$161)</f>
        <v>1.0085605633802814</v>
      </c>
      <c r="C162" s="82"/>
      <c r="D162" s="77"/>
      <c r="F162" s="116">
        <f ca="1">[1]!onepair_A($G$161)</f>
        <v>0.65890998162890402</v>
      </c>
      <c r="G162" s="82" t="str">
        <f ca="1">[1]!onepair_A2($G$161)</f>
        <v>franc and the franc is relatively undervalued</v>
      </c>
      <c r="H162" s="77"/>
      <c r="K162" s="92">
        <f ca="1">[1]!stdnum_A($L$161)</f>
        <v>0.21997183098591599</v>
      </c>
      <c r="L162" s="82"/>
      <c r="M162" s="77"/>
    </row>
    <row r="163" spans="1:13" x14ac:dyDescent="0.35">
      <c r="B163" s="116">
        <f ca="1">[1]!stdnum_B($C$161)</f>
        <v>0.91687323943661936</v>
      </c>
      <c r="C163" s="82"/>
      <c r="D163" s="77"/>
      <c r="F163" s="116">
        <f ca="1">[1]!onepair_B($G$161)</f>
        <v>0.75774647887323898</v>
      </c>
      <c r="G163" s="82" t="str">
        <f ca="1">[1]!onepair_B2($G$161)</f>
        <v>yuan and the yuan is relatively overvalued</v>
      </c>
      <c r="H163" s="77"/>
      <c r="K163" s="92">
        <f ca="1">[1]!stdnum_B($L$161)</f>
        <v>0.24196901408450761</v>
      </c>
      <c r="L163" s="82"/>
      <c r="M163" s="77"/>
    </row>
    <row r="164" spans="1:13" x14ac:dyDescent="0.35">
      <c r="B164" s="116">
        <f ca="1">[1]!stdnum_C($C$161)</f>
        <v>1.1094166197183095</v>
      </c>
      <c r="C164" s="82"/>
      <c r="D164" s="77"/>
      <c r="F164" s="116">
        <f ca="1">[1]!onepair_C($G$161)</f>
        <v>0.75774647887323898</v>
      </c>
      <c r="G164" s="82" t="str">
        <f ca="1">[1]!onepair_C2($G$161)</f>
        <v>franc and the franc is relatively undervalued</v>
      </c>
      <c r="H164" s="77"/>
      <c r="K164" s="92">
        <f ca="1">[1]!stdnum_C($L$161)</f>
        <v>0.26616591549295837</v>
      </c>
      <c r="L164" s="82"/>
      <c r="M164" s="77"/>
    </row>
    <row r="165" spans="1:13" x14ac:dyDescent="0.35">
      <c r="B165" s="116">
        <f ca="1">[1]!stdnum_D($C$161)</f>
        <v>0.75774647887323898</v>
      </c>
      <c r="C165" s="82"/>
      <c r="D165" s="77"/>
      <c r="F165" s="116">
        <f ca="1">[1]!onepair_D($G$161)</f>
        <v>0.65890998162890402</v>
      </c>
      <c r="G165" s="82" t="str">
        <f ca="1">[1]!onepair_D2($G$161)</f>
        <v>yuan and the yuan is relatively overvalued</v>
      </c>
      <c r="H165" s="77"/>
      <c r="K165" s="92">
        <f ca="1">[1]!stdnum_D($L$161)</f>
        <v>0.32206075774647969</v>
      </c>
      <c r="L165" s="82"/>
      <c r="M165" s="77"/>
    </row>
    <row r="166" spans="1:13" ht="16" thickBot="1" x14ac:dyDescent="0.4">
      <c r="B166" s="118">
        <f ca="1">[1]!stdnum_E($C$161)</f>
        <v>0.833521126760563</v>
      </c>
      <c r="C166" s="84"/>
      <c r="D166" s="78"/>
      <c r="F166" s="118">
        <f ca="1">[1]!onepair_E($G$161)</f>
        <v>0.57296520141643803</v>
      </c>
      <c r="G166" s="84" t="str">
        <f ca="1">[1]!onepair_E2($G$161)</f>
        <v>franc and the franc is relatively undervalued</v>
      </c>
      <c r="H166" s="78"/>
      <c r="K166" s="93">
        <f ca="1">[1]!stdnum_E($L$161)</f>
        <v>0.29278250704225428</v>
      </c>
      <c r="L166" s="84"/>
      <c r="M166" s="78"/>
    </row>
    <row r="167" spans="1:13" ht="16" thickTop="1" x14ac:dyDescent="0.35"/>
    <row r="169" spans="1:13" x14ac:dyDescent="0.35">
      <c r="A169" s="120" t="s">
        <v>1589</v>
      </c>
    </row>
    <row r="170" spans="1:13" x14ac:dyDescent="0.35">
      <c r="A170" s="407" t="s">
        <v>3629</v>
      </c>
      <c r="B170" s="407"/>
    </row>
    <row r="171" spans="1:13" x14ac:dyDescent="0.35">
      <c r="A171" s="4" t="str">
        <f ca="1">INDEX(F172:F176,MID(G171,1,1))</f>
        <v>yuan</v>
      </c>
      <c r="B171" s="2" t="s">
        <v>1904</v>
      </c>
      <c r="F171" s="147" t="s">
        <v>3153</v>
      </c>
      <c r="G171" s="62">
        <f ca="1">INDEX(TwoFromFour,RANDBETWEEN(1,12))</f>
        <v>34</v>
      </c>
    </row>
    <row r="172" spans="1:13" x14ac:dyDescent="0.35">
      <c r="A172" s="4" t="str">
        <f ca="1">INDEX(F172:F176,MID(G171,2,1))</f>
        <v>koruna</v>
      </c>
      <c r="B172" s="2" t="s">
        <v>334</v>
      </c>
      <c r="F172" s="2" t="s">
        <v>2436</v>
      </c>
      <c r="G172" s="2" t="s">
        <v>3718</v>
      </c>
    </row>
    <row r="173" spans="1:13" x14ac:dyDescent="0.35">
      <c r="A173" s="4" t="str">
        <f ca="1">INDEX(G172:G176,MID(G171,1,1))</f>
        <v>China</v>
      </c>
      <c r="B173" s="2" t="s">
        <v>335</v>
      </c>
      <c r="F173" s="2" t="s">
        <v>1899</v>
      </c>
      <c r="G173" s="2" t="s">
        <v>1900</v>
      </c>
    </row>
    <row r="174" spans="1:13" x14ac:dyDescent="0.35">
      <c r="A174" s="4" t="str">
        <f ca="1">INDEX(G172:G176,MID(G171,2,1))</f>
        <v>Slovakia</v>
      </c>
      <c r="B174" s="2" t="s">
        <v>1222</v>
      </c>
      <c r="F174" s="2" t="s">
        <v>2902</v>
      </c>
      <c r="G174" s="2" t="s">
        <v>1901</v>
      </c>
    </row>
    <row r="175" spans="1:13" x14ac:dyDescent="0.35">
      <c r="A175" s="115">
        <f ca="1">RANDBETWEEN(40,120)/10</f>
        <v>9.5</v>
      </c>
      <c r="B175" s="2" t="s">
        <v>1123</v>
      </c>
      <c r="F175" s="2" t="s">
        <v>1496</v>
      </c>
      <c r="G175" s="2" t="s">
        <v>1902</v>
      </c>
    </row>
    <row r="176" spans="1:13" x14ac:dyDescent="0.35">
      <c r="A176" s="23">
        <f ca="1">RANDBETWEEN(1,6)*4/100</f>
        <v>0.04</v>
      </c>
      <c r="B176" s="2" t="s">
        <v>3352</v>
      </c>
      <c r="F176" s="2" t="s">
        <v>1497</v>
      </c>
      <c r="G176" s="2" t="s">
        <v>1903</v>
      </c>
    </row>
    <row r="177" spans="1:4" x14ac:dyDescent="0.35">
      <c r="A177" s="23">
        <f ca="1">ROUND((1+RANDBETWEEN(26,35)/100)^(IF(RANDBETWEEN(0,1)=0,1,-1))*A176,2)</f>
        <v>0.05</v>
      </c>
      <c r="B177" s="2" t="s">
        <v>3247</v>
      </c>
    </row>
    <row r="178" spans="1:4" x14ac:dyDescent="0.35">
      <c r="A178" s="94">
        <f ca="1">3*A175</f>
        <v>28.5</v>
      </c>
      <c r="B178" s="2" t="s">
        <v>2744</v>
      </c>
    </row>
    <row r="179" spans="1:4" x14ac:dyDescent="0.35">
      <c r="A179" s="94">
        <f ca="1">ROUND(A178*A175*(1+RANDBETWEEN(16,25)/100)^(IF(RANDBETWEEN(0,1)=0,1,-1)),1)</f>
        <v>225.6</v>
      </c>
      <c r="B179" s="2" t="s">
        <v>3790</v>
      </c>
    </row>
    <row r="180" spans="1:4" x14ac:dyDescent="0.35">
      <c r="A180" s="94">
        <f ca="1">A178*(1+A176)</f>
        <v>29.64</v>
      </c>
      <c r="B180" s="2" t="s">
        <v>3791</v>
      </c>
    </row>
    <row r="181" spans="1:4" x14ac:dyDescent="0.35">
      <c r="A181" s="94">
        <f ca="1">A179*(1+A177)</f>
        <v>236.88</v>
      </c>
      <c r="B181" s="2" t="s">
        <v>3792</v>
      </c>
    </row>
    <row r="182" spans="1:4" x14ac:dyDescent="0.35">
      <c r="A182" s="115">
        <f ca="1">A181/A180</f>
        <v>7.9919028340080969</v>
      </c>
      <c r="B182" s="2" t="s">
        <v>2487</v>
      </c>
    </row>
    <row r="183" spans="1:4" ht="16" thickBot="1" x14ac:dyDescent="0.4"/>
    <row r="184" spans="1:4" ht="16.5" thickTop="1" thickBot="1" x14ac:dyDescent="0.4">
      <c r="B184" s="240" t="str">
        <f ca="1">[1]!std_ans($C$184)</f>
        <v>C</v>
      </c>
      <c r="C184" s="79" t="str">
        <f ca="1" xml:space="preserve"> "/\" &amp;RANDBETWEEN( 1,120) &amp; "/\" &amp;RANDBETWEEN( 1,120) &amp; "/\" &amp;0.1 &amp; "/\" &amp; A182</f>
        <v>/\68/\22/\0.1/\7.9919028340081</v>
      </c>
      <c r="D184" s="80" t="s">
        <v>136</v>
      </c>
    </row>
    <row r="185" spans="1:4" ht="16" thickTop="1" x14ac:dyDescent="0.35">
      <c r="B185" s="116">
        <f ca="1">[1]!stdnum_A($C$184)</f>
        <v>9.6702024291498034</v>
      </c>
      <c r="C185" s="82"/>
      <c r="D185" s="77"/>
    </row>
    <row r="186" spans="1:4" x14ac:dyDescent="0.35">
      <c r="B186" s="116">
        <f ca="1">[1]!stdnum_B($C$184)</f>
        <v>8.7910931174089111</v>
      </c>
      <c r="C186" s="82"/>
      <c r="D186" s="77"/>
    </row>
    <row r="187" spans="1:4" x14ac:dyDescent="0.35">
      <c r="B187" s="116">
        <f ca="1">[1]!stdnum_C($C$184)</f>
        <v>7.9919028340081004</v>
      </c>
      <c r="C187" s="82"/>
      <c r="D187" s="77"/>
    </row>
    <row r="188" spans="1:4" x14ac:dyDescent="0.35">
      <c r="B188" s="116">
        <f ca="1">[1]!stdnum_D($C$184)</f>
        <v>10.637222672064786</v>
      </c>
      <c r="C188" s="82"/>
      <c r="D188" s="77"/>
    </row>
    <row r="189" spans="1:4" ht="16" thickBot="1" x14ac:dyDescent="0.4">
      <c r="B189" s="118">
        <f ca="1">[1]!stdnum_E($C$184)</f>
        <v>11.700944939271263</v>
      </c>
      <c r="C189" s="84"/>
      <c r="D189" s="78"/>
    </row>
    <row r="190" spans="1:4" ht="16" thickTop="1" x14ac:dyDescent="0.35"/>
    <row r="192" spans="1:4" x14ac:dyDescent="0.35">
      <c r="A192" s="2" t="s">
        <v>1083</v>
      </c>
    </row>
    <row r="193" spans="1:8" x14ac:dyDescent="0.35">
      <c r="A193" s="407" t="s">
        <v>3629</v>
      </c>
      <c r="B193" s="407"/>
    </row>
    <row r="194" spans="1:8" x14ac:dyDescent="0.35">
      <c r="A194" s="4" t="str">
        <f ca="1">INDEX(F195:F199,MID(G194,1,1))</f>
        <v>zloty</v>
      </c>
      <c r="B194" s="2" t="s">
        <v>1904</v>
      </c>
      <c r="F194" s="147" t="s">
        <v>3153</v>
      </c>
      <c r="G194" s="62">
        <f ca="1">INDEX(TwoFromFour,RANDBETWEEN(1,12))</f>
        <v>21</v>
      </c>
    </row>
    <row r="195" spans="1:8" x14ac:dyDescent="0.35">
      <c r="A195" s="4" t="str">
        <f ca="1">INDEX(F195:F199,MID(G194,2,1))</f>
        <v>dinar</v>
      </c>
      <c r="B195" s="2" t="s">
        <v>334</v>
      </c>
      <c r="F195" s="2" t="s">
        <v>2436</v>
      </c>
      <c r="G195" s="2" t="s">
        <v>3718</v>
      </c>
    </row>
    <row r="196" spans="1:8" x14ac:dyDescent="0.35">
      <c r="A196" s="4" t="str">
        <f ca="1">INDEX(G195:G199,MID(G194,1,1))</f>
        <v>Poland</v>
      </c>
      <c r="B196" s="2" t="s">
        <v>335</v>
      </c>
      <c r="F196" s="2" t="s">
        <v>1899</v>
      </c>
      <c r="G196" s="2" t="s">
        <v>1900</v>
      </c>
    </row>
    <row r="197" spans="1:8" x14ac:dyDescent="0.35">
      <c r="A197" s="4" t="str">
        <f ca="1">INDEX(G195:G199,MID(G194,2,1))</f>
        <v>Bahrain</v>
      </c>
      <c r="B197" s="2" t="s">
        <v>1222</v>
      </c>
      <c r="F197" s="2" t="s">
        <v>2902</v>
      </c>
      <c r="G197" s="2" t="s">
        <v>1901</v>
      </c>
    </row>
    <row r="198" spans="1:8" x14ac:dyDescent="0.35">
      <c r="A198" s="115">
        <f ca="1">RANDBETWEEN(40,120)/10</f>
        <v>6.3</v>
      </c>
      <c r="B198" s="2" t="s">
        <v>1123</v>
      </c>
      <c r="F198" s="2" t="s">
        <v>1496</v>
      </c>
      <c r="G198" s="2" t="s">
        <v>1902</v>
      </c>
    </row>
    <row r="199" spans="1:8" x14ac:dyDescent="0.35">
      <c r="A199" s="23">
        <f ca="1">RANDBETWEEN(1,6)*5/100</f>
        <v>0.3</v>
      </c>
      <c r="B199" s="2" t="s">
        <v>3352</v>
      </c>
      <c r="F199" s="2" t="s">
        <v>1497</v>
      </c>
      <c r="G199" s="2" t="s">
        <v>1903</v>
      </c>
    </row>
    <row r="200" spans="1:8" x14ac:dyDescent="0.35">
      <c r="A200" s="23">
        <f ca="1">ROUND((1+RANDBETWEEN(26,35)/100)^(IF(RANDBETWEEN(0,1)=0,1,-1))*A199,2)</f>
        <v>0.38</v>
      </c>
      <c r="B200" s="2" t="s">
        <v>3247</v>
      </c>
    </row>
    <row r="201" spans="1:8" x14ac:dyDescent="0.35">
      <c r="A201" s="115">
        <f ca="1">A198*(1+A200)/(1+A199)</f>
        <v>6.6876923076923065</v>
      </c>
      <c r="B201" s="2" t="s">
        <v>2487</v>
      </c>
    </row>
    <row r="202" spans="1:8" x14ac:dyDescent="0.35">
      <c r="A202" s="4" t="str">
        <f ca="1">IF(A200&gt;A199,"depreciate","appreciate")</f>
        <v>depreciate</v>
      </c>
      <c r="B202" s="2" t="s">
        <v>3754</v>
      </c>
    </row>
    <row r="203" spans="1:8" x14ac:dyDescent="0.35">
      <c r="A203" s="4" t="str">
        <f ca="1">IF(A200&lt;A199,"depreciate","appreciate")</f>
        <v>appreciate</v>
      </c>
      <c r="B203" s="2" t="s">
        <v>3476</v>
      </c>
    </row>
    <row r="205" spans="1:8" ht="16" thickBot="1" x14ac:dyDescent="0.4">
      <c r="B205" s="120" t="s">
        <v>1082</v>
      </c>
      <c r="F205" s="120" t="s">
        <v>1767</v>
      </c>
    </row>
    <row r="206" spans="1:8" ht="16.5" thickTop="1" thickBot="1" x14ac:dyDescent="0.4">
      <c r="B206" s="76" t="str">
        <f ca="1">[1]!std_ans($C$206)</f>
        <v>B</v>
      </c>
      <c r="C206" s="79" t="str">
        <f ca="1" xml:space="preserve"> "/\" &amp;RANDBETWEEN( 1,120) &amp; "/\" &amp;RANDBETWEEN( 1,120) &amp; "/\" &amp;0.1 &amp; "/\" &amp; A201</f>
        <v>/\76/\29/\0.1/\6.68769230769231</v>
      </c>
      <c r="D206" s="80" t="s">
        <v>1084</v>
      </c>
      <c r="F206" s="76" t="str">
        <f ca="1">[1]!alpha_ans($G$206)</f>
        <v>C</v>
      </c>
      <c r="G206" s="79" t="str">
        <f ca="1" xml:space="preserve"> "/\" &amp;RANDBETWEEN( 1,5) &amp; "/\" &amp;RANDBETWEEN( 1,120) &amp; "/\" &amp;RANDBETWEEN( 1,6) &amp; "/\" &amp;RANDBETWEEN( 1,2) &amp; "/\" &amp; A201 &amp; "/\" &amp; "Mask" &amp; "/\" &amp; "Mask" &amp; "/\" &amp; A202 &amp; "/\" &amp; A203</f>
        <v>/\3/\81/\2/\1/\6.68769230769231/\Mask/\Mask/\depreciate/\appreciate</v>
      </c>
      <c r="H206" s="80" t="s">
        <v>1768</v>
      </c>
    </row>
    <row r="207" spans="1:8" ht="16" thickTop="1" x14ac:dyDescent="0.35">
      <c r="B207" s="196">
        <f ca="1">[1]!stdnum_A($C$206)</f>
        <v>7.3564615384615415</v>
      </c>
      <c r="C207" s="82"/>
      <c r="D207" s="77"/>
      <c r="F207" s="196">
        <f ca="1">[1]!onepair_A($G$206)</f>
        <v>7.6908461538461603</v>
      </c>
      <c r="G207" s="82" t="str">
        <f ca="1">[1]!onepair_A2($G$206)</f>
        <v>depreciate</v>
      </c>
      <c r="H207" s="77"/>
    </row>
    <row r="208" spans="1:8" x14ac:dyDescent="0.35">
      <c r="B208" s="196">
        <f ca="1">[1]!stdnum_B($C$206)</f>
        <v>6.68769230769231</v>
      </c>
      <c r="C208" s="82"/>
      <c r="D208" s="77"/>
      <c r="F208" s="196">
        <f ca="1">[1]!onepair_B($G$206)</f>
        <v>8.8444730769230802</v>
      </c>
      <c r="G208" s="82" t="str">
        <f ca="1">[1]!onepair_B2($G$206)</f>
        <v>depreciate</v>
      </c>
      <c r="H208" s="77"/>
    </row>
    <row r="209" spans="1:10" x14ac:dyDescent="0.35">
      <c r="B209" s="196">
        <f ca="1">[1]!stdnum_C($C$206)</f>
        <v>8.9013184615384677</v>
      </c>
      <c r="C209" s="82"/>
      <c r="D209" s="77"/>
      <c r="F209" s="196">
        <f ca="1">[1]!onepair_C($G$206)</f>
        <v>6.68769230769231</v>
      </c>
      <c r="G209" s="82" t="str">
        <f ca="1">[1]!onepair_C2($G$206)</f>
        <v>depreciate</v>
      </c>
      <c r="H209" s="77"/>
    </row>
    <row r="210" spans="1:10" x14ac:dyDescent="0.35">
      <c r="B210" s="196">
        <f ca="1">[1]!stdnum_D($C$206)</f>
        <v>8.092107692307696</v>
      </c>
      <c r="C210" s="82"/>
      <c r="D210" s="77"/>
      <c r="F210" s="196">
        <f ca="1">[1]!onepair_D($G$206)</f>
        <v>6.68769230769231</v>
      </c>
      <c r="G210" s="82" t="str">
        <f ca="1">[1]!onepair_D2($G$206)</f>
        <v>appreciate</v>
      </c>
      <c r="H210" s="77"/>
    </row>
    <row r="211" spans="1:10" ht="16" thickBot="1" x14ac:dyDescent="0.4">
      <c r="B211" s="219">
        <f ca="1">[1]!stdnum_E($C$206)</f>
        <v>6.0797202797202816</v>
      </c>
      <c r="C211" s="84"/>
      <c r="D211" s="78"/>
      <c r="F211" s="219">
        <f ca="1">[1]!onepair_E($G$206)</f>
        <v>7.6908461538461603</v>
      </c>
      <c r="G211" s="84" t="str">
        <f ca="1">[1]!onepair_E2($G$206)</f>
        <v>appreciate</v>
      </c>
      <c r="H211" s="78"/>
    </row>
    <row r="212" spans="1:10" ht="16" thickTop="1" x14ac:dyDescent="0.35"/>
    <row r="214" spans="1:10" x14ac:dyDescent="0.35">
      <c r="A214" s="121" t="s">
        <v>1770</v>
      </c>
    </row>
    <row r="215" spans="1:10" x14ac:dyDescent="0.35">
      <c r="A215" s="407" t="s">
        <v>3629</v>
      </c>
      <c r="B215" s="407"/>
    </row>
    <row r="216" spans="1:10" x14ac:dyDescent="0.35">
      <c r="A216" s="4" t="str">
        <f ca="1">INDEX(F217:F221,MID(G216,1,1))</f>
        <v>yuan</v>
      </c>
      <c r="B216" s="2" t="s">
        <v>1242</v>
      </c>
      <c r="F216" s="147" t="s">
        <v>3153</v>
      </c>
      <c r="G216" s="62">
        <f ca="1">INDEX(TwoFromFour,RANDBETWEEN(1,12))</f>
        <v>32</v>
      </c>
    </row>
    <row r="217" spans="1:10" x14ac:dyDescent="0.35">
      <c r="A217" s="4" t="str">
        <f ca="1">INDEX(F217:F221,MID(G216,2,1))</f>
        <v>zloty</v>
      </c>
      <c r="B217" s="2" t="s">
        <v>3140</v>
      </c>
      <c r="F217" s="2" t="s">
        <v>2436</v>
      </c>
      <c r="G217" s="2" t="s">
        <v>3718</v>
      </c>
      <c r="I217" s="115">
        <f ca="1">A224*(1+A221)/(1+A222)</f>
        <v>10.324068901303537</v>
      </c>
      <c r="J217" s="2" t="s">
        <v>3136</v>
      </c>
    </row>
    <row r="218" spans="1:10" x14ac:dyDescent="0.35">
      <c r="A218" s="4" t="str">
        <f ca="1">INDEX(G217:G221,MID(G216,1,1))</f>
        <v>China</v>
      </c>
      <c r="B218" s="2" t="s">
        <v>1222</v>
      </c>
      <c r="F218" s="2" t="s">
        <v>1899</v>
      </c>
      <c r="G218" s="2" t="s">
        <v>1900</v>
      </c>
      <c r="I218" s="6" t="s">
        <v>3143</v>
      </c>
      <c r="J218" s="2" t="str">
        <f ca="1">" the "&amp;A216&amp;" is relatively "&amp; IF(I217&gt;A220,"undervalued","overvalued")</f>
        <v xml:space="preserve"> the yuan is relatively undervalued</v>
      </c>
    </row>
    <row r="219" spans="1:10" x14ac:dyDescent="0.35">
      <c r="A219" s="4" t="str">
        <f ca="1">INDEX(G217:G221,MID(G216,2,1))</f>
        <v>Poland</v>
      </c>
      <c r="B219" s="2" t="s">
        <v>3137</v>
      </c>
      <c r="F219" s="2" t="s">
        <v>2902</v>
      </c>
      <c r="G219" s="2" t="s">
        <v>1901</v>
      </c>
      <c r="I219" s="6" t="s">
        <v>1658</v>
      </c>
      <c r="J219" s="2" t="str">
        <f ca="1">" the "&amp;A216&amp;" is relatively "&amp; IF(I217&lt;A220,"undervalued","overvalued")</f>
        <v xml:space="preserve"> the yuan is relatively overvalued</v>
      </c>
    </row>
    <row r="220" spans="1:10" x14ac:dyDescent="0.35">
      <c r="A220" s="115">
        <f ca="1">RANDBETWEEN(40,120)/10</f>
        <v>8.6</v>
      </c>
      <c r="B220" s="2" t="s">
        <v>3138</v>
      </c>
      <c r="F220" s="2" t="s">
        <v>1496</v>
      </c>
      <c r="G220" s="2" t="s">
        <v>1902</v>
      </c>
    </row>
    <row r="221" spans="1:10" x14ac:dyDescent="0.35">
      <c r="A221" s="19">
        <f ca="1">RANDBETWEEN(16,36)*25/10000</f>
        <v>5.5E-2</v>
      </c>
      <c r="B221" s="2" t="s">
        <v>3141</v>
      </c>
      <c r="F221" s="2" t="s">
        <v>1497</v>
      </c>
      <c r="G221" s="2" t="s">
        <v>1903</v>
      </c>
    </row>
    <row r="222" spans="1:10" x14ac:dyDescent="0.35">
      <c r="A222" s="19">
        <f ca="1">ROUND((1+RANDBETWEEN(26,35)/100)^(IF(RANDBETWEEN(0,1)=0,1,-1))*A221,3)</f>
        <v>7.3999999999999996E-2</v>
      </c>
      <c r="B222" s="2" t="s">
        <v>3139</v>
      </c>
    </row>
    <row r="223" spans="1:10" x14ac:dyDescent="0.35">
      <c r="A223" s="115">
        <f ca="1">A220*(1+A222)/(1+A221)</f>
        <v>8.7548815165876785</v>
      </c>
      <c r="B223" s="2" t="s">
        <v>1323</v>
      </c>
      <c r="F223" s="2" t="str">
        <f ca="1">" the "&amp;A216&amp;" is relatively "&amp; IF(A223&gt;A224,"undervalued","overvalued")</f>
        <v xml:space="preserve"> the yuan is relatively overvalued</v>
      </c>
      <c r="G223" s="2" t="s">
        <v>3142</v>
      </c>
    </row>
    <row r="224" spans="1:10" x14ac:dyDescent="0.35">
      <c r="A224" s="115">
        <f ca="1">ROUND(A223*(IF(RANDBETWEEN(0,1)=0,1/1.2,1.2)),2)</f>
        <v>10.51</v>
      </c>
      <c r="B224" s="2" t="s">
        <v>3812</v>
      </c>
      <c r="F224" s="2" t="str">
        <f ca="1">" the "&amp;A216&amp;" is relatively "&amp; IF(A223&lt;A224,"undervalued","overvalued")</f>
        <v xml:space="preserve"> the yuan is relatively undervalued</v>
      </c>
      <c r="G224" s="2" t="s">
        <v>3476</v>
      </c>
    </row>
    <row r="226" spans="1:16" ht="16" thickBot="1" x14ac:dyDescent="0.4">
      <c r="B226" s="120" t="s">
        <v>1769</v>
      </c>
      <c r="F226" s="120" t="s">
        <v>1826</v>
      </c>
      <c r="G226" s="123"/>
      <c r="H226" s="123"/>
      <c r="J226" s="120" t="s">
        <v>3145</v>
      </c>
      <c r="N226" s="120" t="s">
        <v>3145</v>
      </c>
    </row>
    <row r="227" spans="1:16" ht="16.5" thickTop="1" thickBot="1" x14ac:dyDescent="0.4">
      <c r="B227" s="76" t="str">
        <f ca="1">[1]!std_ans($C$227)</f>
        <v>E</v>
      </c>
      <c r="C227" s="79" t="str">
        <f ca="1" xml:space="preserve"> "/\" &amp;RANDBETWEEN( 1,120) &amp; "/\" &amp;RANDBETWEEN( 1,120) &amp; "/\" &amp;0.1 &amp; "/\" &amp; A223</f>
        <v>/\72/\31/\0.1/\8.75488151658768</v>
      </c>
      <c r="D227" s="80" t="s">
        <v>1825</v>
      </c>
      <c r="F227" s="241" t="str">
        <f ca="1">[1]!alpha_ans($G$227)</f>
        <v>C</v>
      </c>
      <c r="G227" s="164" t="str">
        <f ca="1" xml:space="preserve"> "/\" &amp;RANDBETWEEN( 1,5) &amp; "/\" &amp;RANDBETWEEN( 1,120) &amp; "/\" &amp;RANDBETWEEN( 1,6) &amp; "/\" &amp;RANDBETWEEN( 1,2) &amp; "/\" &amp; A223 &amp; "/\" &amp; "Mask" &amp; "/\" &amp; "Mask" &amp; "/\" &amp; F223 &amp; "/\" &amp; F224</f>
        <v>/\3/\60/\3/\1/\8.75488151658768/\Mask/\Mask/\ the yuan is relatively overvalued/\ the yuan is relatively undervalued</v>
      </c>
      <c r="H227" s="80" t="s">
        <v>1827</v>
      </c>
      <c r="J227" s="76" t="str">
        <f ca="1">[1]!std_ans($K$227)</f>
        <v>D</v>
      </c>
      <c r="K227" s="79" t="str">
        <f ca="1" xml:space="preserve"> "/\" &amp;RANDBETWEEN( 1,120) &amp; "/\" &amp;RANDBETWEEN( 1,120) &amp; "/\" &amp;0.1 &amp; "/\" &amp; I217</f>
        <v>/\87/\79/\0.1/\10.3240689013035</v>
      </c>
      <c r="L227" s="80" t="s">
        <v>3144</v>
      </c>
      <c r="N227" s="76" t="str">
        <f ca="1">[1]!alpha_ans($O$227)</f>
        <v>B</v>
      </c>
      <c r="O227" s="79" t="str">
        <f ca="1" xml:space="preserve"> "/\" &amp;RANDBETWEEN( 1,5) &amp; "/\" &amp;RANDBETWEEN( 1,120) &amp; "/\" &amp;RANDBETWEEN( 1,6) &amp; "/\" &amp;RANDBETWEEN( 1,2) &amp; "/\" &amp; I217 &amp; "/\" &amp; "Mask" &amp; "/\" &amp; "Mask" &amp; "/\" &amp; J218 &amp; "/\" &amp; J219</f>
        <v>/\2/\48/\1/\2/\10.3240689013035/\Mask/\Mask/\ the yuan is relatively undervalued/\ the yuan is relatively overvalued</v>
      </c>
      <c r="P227" s="80" t="s">
        <v>3146</v>
      </c>
    </row>
    <row r="228" spans="1:16" ht="16" thickTop="1" x14ac:dyDescent="0.35">
      <c r="B228" s="116">
        <f ca="1">[1]!stdnum_A($C$227)</f>
        <v>7.9589831968978908</v>
      </c>
      <c r="C228" s="82"/>
      <c r="D228" s="77"/>
      <c r="F228" s="116">
        <f ca="1">[1]!onepair_A($G$227)</f>
        <v>7.6129404492066799</v>
      </c>
      <c r="G228" s="82" t="str">
        <f ca="1">[1]!onepair_A2($G$227)</f>
        <v xml:space="preserve"> the yuan is relatively undervalued</v>
      </c>
      <c r="H228" s="77"/>
      <c r="J228" s="116">
        <f ca="1">[1]!stdnum_A($K$227)</f>
        <v>9.3855171830031807</v>
      </c>
      <c r="K228" s="82"/>
      <c r="L228" s="77"/>
      <c r="N228" s="116">
        <f ca="1">[1]!onepair_A($O$227)</f>
        <v>11.872679236499</v>
      </c>
      <c r="O228" s="82" t="str">
        <f ca="1">[1]!onepair_A2($O$227)</f>
        <v xml:space="preserve"> the yuan is relatively undervalued</v>
      </c>
      <c r="P228" s="77"/>
    </row>
    <row r="229" spans="1:16" x14ac:dyDescent="0.35">
      <c r="B229" s="116">
        <f ca="1">[1]!stdnum_B($C$227)</f>
        <v>11.652747298578205</v>
      </c>
      <c r="C229" s="82"/>
      <c r="D229" s="77"/>
      <c r="F229" s="116">
        <f ca="1">[1]!onepair_B($G$227)</f>
        <v>7.6129404492066799</v>
      </c>
      <c r="G229" s="82" t="str">
        <f ca="1">[1]!onepair_B2($G$227)</f>
        <v xml:space="preserve"> the yuan is relatively overvalued</v>
      </c>
      <c r="H229" s="77"/>
      <c r="J229" s="116">
        <f ca="1">[1]!stdnum_B($K$227)</f>
        <v>7.7566257710770072</v>
      </c>
      <c r="K229" s="82"/>
      <c r="L229" s="77"/>
      <c r="N229" s="116">
        <f ca="1">[1]!onepair_B($O$227)</f>
        <v>10.3240689013035</v>
      </c>
      <c r="O229" s="82" t="str">
        <f ca="1">[1]!onepair_B2($O$227)</f>
        <v xml:space="preserve"> the yuan is relatively undervalued</v>
      </c>
      <c r="P229" s="77"/>
    </row>
    <row r="230" spans="1:16" x14ac:dyDescent="0.35">
      <c r="B230" s="116">
        <f ca="1">[1]!stdnum_C($C$227)</f>
        <v>10.593406635071094</v>
      </c>
      <c r="C230" s="82"/>
      <c r="D230" s="77"/>
      <c r="F230" s="116">
        <f ca="1">[1]!onepair_C($G$227)</f>
        <v>8.7548815165876803</v>
      </c>
      <c r="G230" s="82" t="str">
        <f ca="1">[1]!onepair_C2($G$227)</f>
        <v xml:space="preserve"> the yuan is relatively overvalued</v>
      </c>
      <c r="H230" s="77"/>
      <c r="J230" s="116">
        <f ca="1">[1]!stdnum_C($K$227)</f>
        <v>8.5322883481847089</v>
      </c>
      <c r="K230" s="82"/>
      <c r="L230" s="77"/>
      <c r="N230" s="116">
        <f ca="1">[1]!onepair_C($O$227)</f>
        <v>13.6535811219739</v>
      </c>
      <c r="O230" s="82" t="str">
        <f ca="1">[1]!onepair_C2($O$227)</f>
        <v xml:space="preserve"> the yuan is relatively undervalued</v>
      </c>
      <c r="P230" s="77"/>
    </row>
    <row r="231" spans="1:16" x14ac:dyDescent="0.35">
      <c r="B231" s="116">
        <f ca="1">[1]!stdnum_D($C$227)</f>
        <v>9.6303696682464484</v>
      </c>
      <c r="C231" s="82"/>
      <c r="D231" s="77"/>
      <c r="F231" s="116">
        <f ca="1">[1]!onepair_D($G$227)</f>
        <v>10.0681137440758</v>
      </c>
      <c r="G231" s="82" t="str">
        <f ca="1">[1]!onepair_D2($G$227)</f>
        <v xml:space="preserve"> the yuan is relatively overvalued</v>
      </c>
      <c r="H231" s="77"/>
      <c r="J231" s="116">
        <f ca="1">[1]!stdnum_D($K$227)</f>
        <v>10.3240689013035</v>
      </c>
      <c r="K231" s="82"/>
      <c r="L231" s="77"/>
      <c r="N231" s="116">
        <f ca="1">[1]!onepair_D($O$227)</f>
        <v>11.872679236499</v>
      </c>
      <c r="O231" s="82" t="str">
        <f ca="1">[1]!onepair_D2($O$227)</f>
        <v xml:space="preserve"> the yuan is relatively overvalued</v>
      </c>
      <c r="P231" s="77"/>
    </row>
    <row r="232" spans="1:16" ht="16" thickBot="1" x14ac:dyDescent="0.4">
      <c r="B232" s="118">
        <f ca="1">[1]!stdnum_E($C$227)</f>
        <v>8.7548815165876803</v>
      </c>
      <c r="C232" s="84"/>
      <c r="D232" s="78"/>
      <c r="F232" s="118">
        <f ca="1">[1]!onepair_E($G$227)</f>
        <v>8.7548815165876803</v>
      </c>
      <c r="G232" s="84" t="str">
        <f ca="1">[1]!onepair_E2($G$227)</f>
        <v xml:space="preserve"> the yuan is relatively undervalued</v>
      </c>
      <c r="H232" s="78"/>
      <c r="J232" s="118">
        <f ca="1">[1]!stdnum_E($K$227)</f>
        <v>11.356475791433851</v>
      </c>
      <c r="K232" s="84"/>
      <c r="L232" s="78"/>
      <c r="N232" s="118">
        <f ca="1">[1]!onepair_E($O$227)</f>
        <v>10.3240689013035</v>
      </c>
      <c r="O232" s="84" t="str">
        <f ca="1">[1]!onepair_E2($O$227)</f>
        <v xml:space="preserve"> the yuan is relatively overvalued</v>
      </c>
      <c r="P232" s="78"/>
    </row>
    <row r="233" spans="1:16" ht="16" thickTop="1" x14ac:dyDescent="0.35"/>
    <row r="234" spans="1:16" x14ac:dyDescent="0.35">
      <c r="A234"/>
      <c r="B234"/>
      <c r="C234"/>
      <c r="D234"/>
      <c r="E234"/>
      <c r="F234"/>
      <c r="G234"/>
      <c r="H234"/>
      <c r="I234"/>
    </row>
    <row r="235" spans="1:16" x14ac:dyDescent="0.35">
      <c r="A235" s="120" t="s">
        <v>3481</v>
      </c>
      <c r="H235"/>
      <c r="I235"/>
    </row>
    <row r="236" spans="1:16" x14ac:dyDescent="0.35">
      <c r="A236" s="407" t="s">
        <v>3629</v>
      </c>
      <c r="B236" s="407"/>
      <c r="H236"/>
      <c r="I236"/>
    </row>
    <row r="237" spans="1:16" x14ac:dyDescent="0.35">
      <c r="A237" s="4" t="str">
        <f ca="1">INDEX(F238:F242,MID(G237,1,1))</f>
        <v>dinar</v>
      </c>
      <c r="B237" s="2" t="s">
        <v>3483</v>
      </c>
      <c r="F237" s="147" t="s">
        <v>3153</v>
      </c>
      <c r="G237" s="62">
        <f ca="1">INDEX(TwoFromFour,RANDBETWEEN(1,12))</f>
        <v>12</v>
      </c>
      <c r="H237"/>
      <c r="I237"/>
    </row>
    <row r="238" spans="1:16" x14ac:dyDescent="0.35">
      <c r="A238" s="4" t="str">
        <f ca="1">INDEX(F238:F242,MID(G237,2,1))</f>
        <v>zloty</v>
      </c>
      <c r="B238" s="2" t="s">
        <v>334</v>
      </c>
      <c r="F238" s="2" t="s">
        <v>2436</v>
      </c>
      <c r="G238" s="2" t="s">
        <v>3718</v>
      </c>
      <c r="H238"/>
      <c r="I238"/>
    </row>
    <row r="239" spans="1:16" x14ac:dyDescent="0.35">
      <c r="A239" s="4" t="str">
        <f ca="1">INDEX(G238:G242,MID(G237,1,1))</f>
        <v>Bahrain</v>
      </c>
      <c r="B239" s="2" t="s">
        <v>3137</v>
      </c>
      <c r="F239" s="2" t="s">
        <v>1899</v>
      </c>
      <c r="G239" s="2" t="s">
        <v>1900</v>
      </c>
      <c r="H239"/>
      <c r="I239"/>
    </row>
    <row r="240" spans="1:16" x14ac:dyDescent="0.35">
      <c r="A240" s="4" t="str">
        <f ca="1">INDEX(G238:G242,MID(G237,2,1))</f>
        <v>Poland</v>
      </c>
      <c r="B240" s="2" t="s">
        <v>1222</v>
      </c>
      <c r="F240" s="2" t="s">
        <v>2902</v>
      </c>
      <c r="G240" s="2" t="s">
        <v>1901</v>
      </c>
      <c r="H240"/>
      <c r="I240"/>
    </row>
    <row r="241" spans="1:9" x14ac:dyDescent="0.35">
      <c r="A241" s="115">
        <f ca="1">A244*(1+RANDBETWEEN(26,35)/100)^(IF(RANDBETWEEN(0,1)=0,1,-1))*(1+RANDBETWEEN(16,25)/100)^(IF(RANDBETWEEN(0,1)=0,1,-1))</f>
        <v>0.47680176049880796</v>
      </c>
      <c r="B241" s="2" t="s">
        <v>3482</v>
      </c>
      <c r="E241" s="4"/>
      <c r="F241" s="2" t="s">
        <v>1496</v>
      </c>
      <c r="G241" s="2" t="s">
        <v>1902</v>
      </c>
      <c r="H241"/>
      <c r="I241"/>
    </row>
    <row r="242" spans="1:9" x14ac:dyDescent="0.35">
      <c r="A242" s="94">
        <f ca="1">RANDBETWEEN(40,120)/10</f>
        <v>6.8</v>
      </c>
      <c r="B242" s="2" t="s">
        <v>3484</v>
      </c>
      <c r="F242" s="2" t="s">
        <v>1497</v>
      </c>
      <c r="G242" s="2" t="s">
        <v>1903</v>
      </c>
      <c r="H242"/>
      <c r="I242"/>
    </row>
    <row r="243" spans="1:9" x14ac:dyDescent="0.35">
      <c r="A243" s="94">
        <f ca="1">IF(E243&lt;&gt;A242,E243,E243+(IF(RANDBETWEEN(0,1)=0,1,-1))*4*(1+RANDBETWEEN(16,25)/100)^(IF(RANDBETWEEN(0,1)=0,1,-1)))</f>
        <v>8.6999999999999993</v>
      </c>
      <c r="B243" s="2" t="s">
        <v>3790</v>
      </c>
      <c r="E243" s="2">
        <f ca="1">RANDBETWEEN(40,120)/10</f>
        <v>8.6999999999999993</v>
      </c>
      <c r="H243"/>
      <c r="I243"/>
    </row>
    <row r="244" spans="1:9" x14ac:dyDescent="0.35">
      <c r="A244" s="4">
        <f ca="1">ROUND(A242/A243,2)</f>
        <v>0.78</v>
      </c>
      <c r="B244" s="2" t="s">
        <v>3485</v>
      </c>
      <c r="G244" s="2" t="str">
        <f ca="1">"and the " &amp;A238 &amp; " should " &amp; A245</f>
        <v>and the zloty should appreciate</v>
      </c>
      <c r="H244"/>
      <c r="I244"/>
    </row>
    <row r="245" spans="1:9" x14ac:dyDescent="0.35">
      <c r="A245" s="2" t="str">
        <f ca="1">IF(A244&gt;A241,"appreciate","depreciate")</f>
        <v>appreciate</v>
      </c>
      <c r="B245" s="2" t="s">
        <v>3486</v>
      </c>
      <c r="F245" s="2" t="str">
        <f ca="1">IF(A244&lt;A241,"appreciate","depreciate")</f>
        <v>depreciate</v>
      </c>
      <c r="G245" s="2" t="str">
        <f ca="1">"and the " &amp;A238 &amp; " should " &amp; F245</f>
        <v>and the zloty should depreciate</v>
      </c>
      <c r="H245"/>
      <c r="I245"/>
    </row>
    <row r="246" spans="1:9" x14ac:dyDescent="0.35">
      <c r="A246" s="94"/>
      <c r="H246"/>
      <c r="I246"/>
    </row>
    <row r="247" spans="1:9" ht="16" thickBot="1" x14ac:dyDescent="0.4">
      <c r="A247" s="94"/>
      <c r="B247" s="88" t="s">
        <v>3489</v>
      </c>
      <c r="F247" s="88" t="s">
        <v>3490</v>
      </c>
    </row>
    <row r="248" spans="1:9" ht="16.5" thickTop="1" thickBot="1" x14ac:dyDescent="0.4">
      <c r="A248" s="115"/>
      <c r="B248" s="76" t="str">
        <f ca="1">[1]!std_ans($C$248)</f>
        <v>B</v>
      </c>
      <c r="C248" s="79" t="str">
        <f ca="1" xml:space="preserve"> "/\" &amp;RANDBETWEEN( 1,120) &amp; "/\" &amp;RANDBETWEEN( 1,120) &amp; "/\" &amp;0.1 &amp; "/\" &amp; A244</f>
        <v>/\27/\83/\0.1/\0.78</v>
      </c>
      <c r="D248" s="80" t="s">
        <v>3487</v>
      </c>
      <c r="F248" s="76" t="str">
        <f ca="1">[1]!alpha_ans($G$248)</f>
        <v>B</v>
      </c>
      <c r="G248" s="79" t="str">
        <f ca="1" xml:space="preserve"> "/\" &amp;RANDBETWEEN( 1,5) &amp; "/\" &amp;RANDBETWEEN( 1,120) &amp; "/\" &amp;RANDBETWEEN( 1,6) &amp; "/\" &amp;RANDBETWEEN( 1,2) &amp; "/\" &amp; A244 &amp; "/\" &amp; "Mask" &amp; "/\" &amp; "Mask" &amp; "/\" &amp; G244 &amp; "/\" &amp; G245</f>
        <v>/\2/\36/\1/\1/\0.78/\Mask/\Mask/\and the zloty should appreciate/\and the zloty should depreciate</v>
      </c>
      <c r="H248" s="80" t="s">
        <v>3488</v>
      </c>
    </row>
    <row r="249" spans="1:9" ht="16" thickTop="1" x14ac:dyDescent="0.35">
      <c r="B249" s="116">
        <f ca="1">[1]!stdnum_A($C$248)</f>
        <v>0.64462809917355368</v>
      </c>
      <c r="C249" s="82"/>
      <c r="D249" s="77"/>
      <c r="F249" s="116">
        <f ca="1">[1]!onepair_A($G$248)</f>
        <v>0.89700000000000002</v>
      </c>
      <c r="G249" s="82" t="str">
        <f ca="1">[1]!onepair_A2($G$248)</f>
        <v>and the zloty should appreciate</v>
      </c>
      <c r="H249" s="77"/>
    </row>
    <row r="250" spans="1:9" x14ac:dyDescent="0.35">
      <c r="B250" s="116">
        <f ca="1">[1]!stdnum_B($C$248)</f>
        <v>0.78</v>
      </c>
      <c r="C250" s="82"/>
      <c r="D250" s="77"/>
      <c r="F250" s="116">
        <f ca="1">[1]!onepair_B($G$248)</f>
        <v>0.78</v>
      </c>
      <c r="G250" s="82" t="str">
        <f ca="1">[1]!onepair_B2($G$248)</f>
        <v>and the zloty should appreciate</v>
      </c>
      <c r="H250" s="77"/>
    </row>
    <row r="251" spans="1:9" x14ac:dyDescent="0.35">
      <c r="B251" s="116">
        <f ca="1">[1]!stdnum_C($C$248)</f>
        <v>0.58602554470323054</v>
      </c>
      <c r="C251" s="82"/>
      <c r="D251" s="77"/>
      <c r="F251" s="116">
        <f ca="1">[1]!onepair_C($G$248)</f>
        <v>1.03155</v>
      </c>
      <c r="G251" s="82" t="str">
        <f ca="1">[1]!onepair_C2($G$248)</f>
        <v>and the zloty should depreciate</v>
      </c>
      <c r="H251" s="77"/>
    </row>
    <row r="252" spans="1:9" x14ac:dyDescent="0.35">
      <c r="B252" s="116">
        <f ca="1">[1]!stdnum_D($C$248)</f>
        <v>0.8580000000000001</v>
      </c>
      <c r="C252" s="82"/>
      <c r="D252" s="77"/>
      <c r="F252" s="116">
        <f ca="1">[1]!onepair_D($G$248)</f>
        <v>1.03155</v>
      </c>
      <c r="G252" s="82" t="str">
        <f ca="1">[1]!onepair_D2($G$248)</f>
        <v>and the zloty should appreciate</v>
      </c>
      <c r="H252" s="77"/>
    </row>
    <row r="253" spans="1:9" ht="16" thickBot="1" x14ac:dyDescent="0.4">
      <c r="B253" s="118">
        <f ca="1">[1]!stdnum_E($C$248)</f>
        <v>0.70909090909090911</v>
      </c>
      <c r="C253" s="84"/>
      <c r="D253" s="78"/>
      <c r="F253" s="118">
        <f ca="1">[1]!onepair_E($G$248)</f>
        <v>0.78</v>
      </c>
      <c r="G253" s="84" t="str">
        <f ca="1">[1]!onepair_E2($G$248)</f>
        <v>and the zloty should depreciate</v>
      </c>
      <c r="H253" s="78"/>
    </row>
    <row r="254" spans="1:9" ht="16" thickTop="1" x14ac:dyDescent="0.35"/>
  </sheetData>
  <mergeCells count="9">
    <mergeCell ref="A236:B236"/>
    <mergeCell ref="A94:B94"/>
    <mergeCell ref="A121:B121"/>
    <mergeCell ref="I122:M122"/>
    <mergeCell ref="A143:B143"/>
    <mergeCell ref="A215:B215"/>
    <mergeCell ref="D156:E156"/>
    <mergeCell ref="A170:B170"/>
    <mergeCell ref="A193:B193"/>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6"/>
  <dimension ref="A1:K303"/>
  <sheetViews>
    <sheetView tabSelected="1" workbookViewId="0">
      <selection activeCell="A3" sqref="A3"/>
    </sheetView>
  </sheetViews>
  <sheetFormatPr defaultColWidth="12.08203125" defaultRowHeight="15.5" x14ac:dyDescent="0.35"/>
  <cols>
    <col min="1" max="16384" width="12.08203125" style="103"/>
  </cols>
  <sheetData>
    <row r="1" spans="1:4" x14ac:dyDescent="0.35">
      <c r="A1" s="408" t="s">
        <v>3850</v>
      </c>
      <c r="B1" s="409"/>
      <c r="C1" s="409"/>
    </row>
    <row r="2" spans="1:4" x14ac:dyDescent="0.35">
      <c r="A2" s="408"/>
      <c r="B2" s="409"/>
      <c r="C2" s="409"/>
    </row>
    <row r="11" spans="1:4" x14ac:dyDescent="0.35">
      <c r="A11" s="88" t="s">
        <v>3015</v>
      </c>
      <c r="B11" s="2"/>
    </row>
    <row r="12" spans="1:4" x14ac:dyDescent="0.35">
      <c r="A12" s="10">
        <f ca="1">RANDBETWEEN(8,16)*100</f>
        <v>1200</v>
      </c>
      <c r="B12" s="2" t="s">
        <v>2153</v>
      </c>
      <c r="C12" s="2"/>
      <c r="D12" s="2"/>
    </row>
    <row r="13" spans="1:4" x14ac:dyDescent="0.35">
      <c r="A13" s="2">
        <f ca="1">RANDBETWEEN(3,8)</f>
        <v>8</v>
      </c>
      <c r="B13" s="2" t="s">
        <v>2573</v>
      </c>
      <c r="C13" s="2"/>
      <c r="D13" s="2"/>
    </row>
    <row r="14" spans="1:4" x14ac:dyDescent="0.35">
      <c r="A14" s="10">
        <f ca="1">RANDBETWEEN(8,16)*100</f>
        <v>1600</v>
      </c>
      <c r="B14" s="2" t="s">
        <v>2572</v>
      </c>
      <c r="C14" s="2"/>
      <c r="D14" s="2"/>
    </row>
    <row r="15" spans="1:4" x14ac:dyDescent="0.35">
      <c r="A15" s="2">
        <f ca="1">A13+RANDBETWEEN(3,8)</f>
        <v>14</v>
      </c>
      <c r="B15" s="2" t="s">
        <v>2573</v>
      </c>
      <c r="C15" s="2"/>
      <c r="D15" s="2"/>
    </row>
    <row r="16" spans="1:4" x14ac:dyDescent="0.35">
      <c r="A16" s="7">
        <f ca="1">RANDBETWEEN(45,95)/1000</f>
        <v>4.5999999999999999E-2</v>
      </c>
      <c r="B16" s="2" t="s">
        <v>1111</v>
      </c>
      <c r="C16" s="2"/>
      <c r="D16" s="2"/>
    </row>
    <row r="17" spans="1:5" x14ac:dyDescent="0.35">
      <c r="A17" s="2">
        <f ca="1">A15+RANDBETWEEN(3,8)</f>
        <v>22</v>
      </c>
      <c r="B17" s="2" t="s">
        <v>3010</v>
      </c>
      <c r="C17" s="2"/>
      <c r="D17" s="2"/>
    </row>
    <row r="18" spans="1:5" x14ac:dyDescent="0.35">
      <c r="A18" s="8">
        <f ca="1">A12*(1+A16/12)^(A17-A13)+A14*(1+A16/12)^(A17-A15)</f>
        <v>2915.7595481699818</v>
      </c>
      <c r="B18" s="2" t="s">
        <v>2574</v>
      </c>
      <c r="C18" s="2"/>
      <c r="D18" s="2"/>
      <c r="E18" s="2"/>
    </row>
    <row r="19" spans="1:5" x14ac:dyDescent="0.35">
      <c r="A19" s="10">
        <f ca="1">A18-(A12+A14)</f>
        <v>115.75954816998183</v>
      </c>
      <c r="B19" s="2" t="s">
        <v>1305</v>
      </c>
      <c r="C19" s="2"/>
      <c r="D19" s="2"/>
      <c r="E19" s="2"/>
    </row>
    <row r="20" spans="1:5" ht="16" thickBot="1" x14ac:dyDescent="0.4">
      <c r="A20" s="2"/>
      <c r="B20" s="2"/>
      <c r="C20" s="2"/>
      <c r="D20" s="2"/>
      <c r="E20" s="2"/>
    </row>
    <row r="21" spans="1:5" ht="16.5" thickTop="1" thickBot="1" x14ac:dyDescent="0.4">
      <c r="A21" s="2"/>
      <c r="B21" s="76" t="str">
        <f ca="1">[1]!std_ans($C$21)</f>
        <v>D</v>
      </c>
      <c r="C21" s="79" t="str">
        <f ca="1" xml:space="preserve"> "/\" &amp;RANDBETWEEN( 1,120) &amp; "/\" &amp;RANDBETWEEN( 1,120) &amp; "/\" &amp;0.1 &amp; "/\" &amp; A19</f>
        <v>/\93/\104/\0.1/\115.759548169982</v>
      </c>
      <c r="D21" s="80" t="s">
        <v>3011</v>
      </c>
      <c r="E21" s="2"/>
    </row>
    <row r="22" spans="1:5" ht="16" thickTop="1" x14ac:dyDescent="0.35">
      <c r="A22" s="2"/>
      <c r="B22" s="101">
        <f ca="1">[1]!stdnum_A($C$21)</f>
        <v>105.23595288180181</v>
      </c>
      <c r="C22" s="82"/>
      <c r="D22" s="77"/>
      <c r="E22" s="2"/>
    </row>
    <row r="23" spans="1:5" x14ac:dyDescent="0.35">
      <c r="A23" s="2"/>
      <c r="B23" s="101">
        <f ca="1">[1]!stdnum_B($C$21)</f>
        <v>95.669048074365278</v>
      </c>
      <c r="C23" s="82"/>
      <c r="D23" s="77"/>
      <c r="E23" s="2"/>
    </row>
    <row r="24" spans="1:5" x14ac:dyDescent="0.35">
      <c r="A24" s="2"/>
      <c r="B24" s="101">
        <f ca="1">[1]!stdnum_C($C$21)</f>
        <v>86.971861885786595</v>
      </c>
      <c r="C24" s="82"/>
      <c r="D24" s="77"/>
      <c r="E24" s="2"/>
    </row>
    <row r="25" spans="1:5" x14ac:dyDescent="0.35">
      <c r="A25" s="2"/>
      <c r="B25" s="101">
        <f ca="1">[1]!stdnum_D($C$21)</f>
        <v>115.759548169982</v>
      </c>
      <c r="C25" s="82"/>
      <c r="D25" s="77"/>
      <c r="E25" s="2"/>
    </row>
    <row r="26" spans="1:5" ht="16" thickBot="1" x14ac:dyDescent="0.4">
      <c r="B26" s="102">
        <f ca="1">[1]!stdnum_E($C$21)</f>
        <v>79.065328987078729</v>
      </c>
      <c r="C26" s="340"/>
      <c r="D26" s="339"/>
    </row>
    <row r="27" spans="1:5" ht="16" thickTop="1" x14ac:dyDescent="0.35"/>
    <row r="29" spans="1:5" x14ac:dyDescent="0.35">
      <c r="A29" s="88" t="s">
        <v>1807</v>
      </c>
      <c r="B29" s="2"/>
    </row>
    <row r="30" spans="1:5" x14ac:dyDescent="0.35">
      <c r="A30" s="10">
        <f ca="1">RANDBETWEEN(8,16)*100</f>
        <v>1300</v>
      </c>
      <c r="B30" s="2" t="s">
        <v>3012</v>
      </c>
    </row>
    <row r="31" spans="1:5" x14ac:dyDescent="0.35">
      <c r="A31" s="2">
        <f ca="1">RANDBETWEEN(3,8)*15</f>
        <v>45</v>
      </c>
      <c r="B31" s="2" t="s">
        <v>1030</v>
      </c>
    </row>
    <row r="32" spans="1:5" x14ac:dyDescent="0.35">
      <c r="A32" s="10">
        <f ca="1">RANDBETWEEN(8,16)*10</f>
        <v>140</v>
      </c>
      <c r="B32" s="2" t="s">
        <v>1926</v>
      </c>
    </row>
    <row r="33" spans="1:6" x14ac:dyDescent="0.35">
      <c r="A33" s="7">
        <f ca="1">RANDBETWEEN(45,95)/1000</f>
        <v>4.8000000000000001E-2</v>
      </c>
      <c r="B33" s="2" t="s">
        <v>1111</v>
      </c>
      <c r="C33" s="29">
        <f ca="1">A33/12</f>
        <v>4.0000000000000001E-3</v>
      </c>
    </row>
    <row r="34" spans="1:6" x14ac:dyDescent="0.35">
      <c r="A34" s="341">
        <f ca="1">-FV(C33,A31+1,A32)</f>
        <v>7055.1158395525435</v>
      </c>
      <c r="B34" s="103" t="s">
        <v>1927</v>
      </c>
    </row>
    <row r="35" spans="1:6" x14ac:dyDescent="0.35">
      <c r="A35" s="341">
        <f ca="1">A30*(1+C33)^A31</f>
        <v>1555.823864297618</v>
      </c>
      <c r="B35" s="103" t="s">
        <v>1928</v>
      </c>
    </row>
    <row r="36" spans="1:6" x14ac:dyDescent="0.35">
      <c r="A36" s="341">
        <f ca="1">A34+A35</f>
        <v>8610.9397038501611</v>
      </c>
      <c r="B36" s="103" t="s">
        <v>1929</v>
      </c>
    </row>
    <row r="37" spans="1:6" ht="16" thickBot="1" x14ac:dyDescent="0.4"/>
    <row r="38" spans="1:6" ht="16.5" thickTop="1" thickBot="1" x14ac:dyDescent="0.4">
      <c r="B38" s="343" t="str">
        <f ca="1">[1]!std_ans($C$38)</f>
        <v>A</v>
      </c>
      <c r="C38" s="344" t="str">
        <f ca="1" xml:space="preserve"> "/\" &amp;RANDBETWEEN( 1,120) &amp; "/\" &amp;RANDBETWEEN( 1,120) &amp; "/\" &amp;0.1 &amp; "/\" &amp; A36</f>
        <v>/\8/\54/\0.1/\8610.93970385016</v>
      </c>
      <c r="D38" s="345" t="s">
        <v>1930</v>
      </c>
    </row>
    <row r="39" spans="1:6" ht="16" thickTop="1" x14ac:dyDescent="0.35">
      <c r="B39" s="101">
        <f ca="1">[1]!stdnum_A($C$38)</f>
        <v>8610.9397038501593</v>
      </c>
      <c r="C39" s="346"/>
      <c r="D39" s="342"/>
    </row>
    <row r="40" spans="1:6" x14ac:dyDescent="0.35">
      <c r="B40" s="101">
        <f ca="1">[1]!stdnum_B($C$38)</f>
        <v>10419.237041658695</v>
      </c>
      <c r="C40" s="346"/>
      <c r="D40" s="342"/>
    </row>
    <row r="41" spans="1:6" x14ac:dyDescent="0.35">
      <c r="B41" s="101">
        <f ca="1">[1]!stdnum_C($C$38)</f>
        <v>7116.4790940910398</v>
      </c>
      <c r="C41" s="346"/>
      <c r="D41" s="342"/>
    </row>
    <row r="42" spans="1:6" x14ac:dyDescent="0.35">
      <c r="B42" s="101">
        <f ca="1">[1]!stdnum_D($C$38)</f>
        <v>7828.1270035001444</v>
      </c>
      <c r="C42" s="346"/>
      <c r="D42" s="342"/>
    </row>
    <row r="43" spans="1:6" ht="16" thickBot="1" x14ac:dyDescent="0.4">
      <c r="B43" s="102">
        <f ca="1">[1]!stdnum_E($C$38)</f>
        <v>9472.0336742351756</v>
      </c>
      <c r="C43" s="340"/>
      <c r="D43" s="339"/>
    </row>
    <row r="44" spans="1:6" ht="16" thickTop="1" x14ac:dyDescent="0.35"/>
    <row r="46" spans="1:6" x14ac:dyDescent="0.35">
      <c r="A46" s="347" t="s">
        <v>1808</v>
      </c>
    </row>
    <row r="47" spans="1:6" x14ac:dyDescent="0.35">
      <c r="A47" s="103">
        <f ca="1">50*RANDBETWEEN(2,8)</f>
        <v>350</v>
      </c>
      <c r="B47" s="103" t="s">
        <v>943</v>
      </c>
      <c r="E47" s="13">
        <f ca="1">A47*A49/30</f>
        <v>1.6566666666666665</v>
      </c>
      <c r="F47" s="103" t="s">
        <v>945</v>
      </c>
    </row>
    <row r="48" spans="1:6" x14ac:dyDescent="0.35">
      <c r="A48" s="349">
        <f ca="1">1000*RANDBETWEEN(8,14)</f>
        <v>12000</v>
      </c>
      <c r="B48" s="103" t="s">
        <v>944</v>
      </c>
      <c r="E48" s="13">
        <f ca="1">A48*A49/30</f>
        <v>56.79999999999999</v>
      </c>
      <c r="F48" s="103" t="s">
        <v>946</v>
      </c>
    </row>
    <row r="49" spans="1:7" x14ac:dyDescent="0.35">
      <c r="A49" s="348">
        <f ca="1">RANDBETWEEN(120,150)/1000</f>
        <v>0.14199999999999999</v>
      </c>
      <c r="B49" s="103" t="s">
        <v>513</v>
      </c>
    </row>
    <row r="50" spans="1:7" ht="16" thickBot="1" x14ac:dyDescent="0.4"/>
    <row r="51" spans="1:7" ht="16.5" thickTop="1" thickBot="1" x14ac:dyDescent="0.4">
      <c r="B51" s="343" t="str">
        <f ca="1">[1]!std_ans($C$51)</f>
        <v>C</v>
      </c>
      <c r="C51" s="344" t="str">
        <f ca="1" xml:space="preserve"> "/\" &amp;RANDBETWEEN( 1,120) &amp; "/\" &amp;RANDBETWEEN( 1,120) &amp; "/\" &amp;0.1 &amp; "/\" &amp; E47</f>
        <v>/\61/\105/\0.1/\1.65666666666667</v>
      </c>
      <c r="D51" s="345" t="s">
        <v>947</v>
      </c>
    </row>
    <row r="52" spans="1:7" ht="16" thickTop="1" x14ac:dyDescent="0.35">
      <c r="B52" s="129">
        <f ca="1">[1]!stdnum_A($C$51)</f>
        <v>1.3691460055096445</v>
      </c>
      <c r="C52" s="346"/>
      <c r="D52" s="342"/>
    </row>
    <row r="53" spans="1:7" x14ac:dyDescent="0.35">
      <c r="B53" s="129">
        <f ca="1">[1]!stdnum_B($C$51)</f>
        <v>1.1315256243881358</v>
      </c>
      <c r="C53" s="346"/>
      <c r="D53" s="342"/>
    </row>
    <row r="54" spans="1:7" x14ac:dyDescent="0.35">
      <c r="B54" s="129">
        <f ca="1">[1]!stdnum_C($C$51)</f>
        <v>1.6566666666666701</v>
      </c>
      <c r="C54" s="346"/>
      <c r="D54" s="342"/>
    </row>
    <row r="55" spans="1:7" x14ac:dyDescent="0.35">
      <c r="B55" s="129">
        <f ca="1">[1]!stdnum_D($C$51)</f>
        <v>1.2446781868269494</v>
      </c>
      <c r="C55" s="346"/>
      <c r="D55" s="342"/>
    </row>
    <row r="56" spans="1:7" ht="16" thickBot="1" x14ac:dyDescent="0.4">
      <c r="B56" s="130">
        <f ca="1">[1]!stdnum_E($C$51)</f>
        <v>1.5060606060606092</v>
      </c>
      <c r="C56" s="340"/>
      <c r="D56" s="339"/>
    </row>
    <row r="57" spans="1:7" ht="16" thickTop="1" x14ac:dyDescent="0.35"/>
    <row r="59" spans="1:7" x14ac:dyDescent="0.35">
      <c r="A59" s="347" t="s">
        <v>1809</v>
      </c>
    </row>
    <row r="60" spans="1:7" x14ac:dyDescent="0.35">
      <c r="A60" s="103">
        <f ca="1">RANDBETWEEN(4,9)</f>
        <v>8</v>
      </c>
      <c r="B60" s="103" t="s">
        <v>2661</v>
      </c>
      <c r="F60" s="13">
        <f ca="1">A61/A62</f>
        <v>92.307692307692307</v>
      </c>
      <c r="G60" s="103" t="s">
        <v>2663</v>
      </c>
    </row>
    <row r="61" spans="1:7" x14ac:dyDescent="0.35">
      <c r="A61" s="13">
        <f ca="1">RANDBETWEEN(8,24)*4/10</f>
        <v>9.6</v>
      </c>
      <c r="B61" s="103" t="s">
        <v>2662</v>
      </c>
      <c r="F61" s="13">
        <f ca="1">F60/(1+A62)^(A60-1)</f>
        <v>46.180047999696136</v>
      </c>
      <c r="G61" s="103" t="s">
        <v>2664</v>
      </c>
    </row>
    <row r="62" spans="1:7" x14ac:dyDescent="0.35">
      <c r="A62" s="324">
        <f ca="1">RANDBETWEEN(85,175)/1000</f>
        <v>0.104</v>
      </c>
      <c r="B62" s="2" t="s">
        <v>3244</v>
      </c>
    </row>
    <row r="63" spans="1:7" ht="16" thickBot="1" x14ac:dyDescent="0.4"/>
    <row r="64" spans="1:7" ht="16.5" thickTop="1" thickBot="1" x14ac:dyDescent="0.4">
      <c r="B64" s="343" t="str">
        <f ca="1">[1]!std_ans($C$64)</f>
        <v>A</v>
      </c>
      <c r="C64" s="344" t="str">
        <f ca="1" xml:space="preserve"> "/\" &amp;RANDBETWEEN( 1,120) &amp; "/\" &amp;RANDBETWEEN( 1,120) &amp; "/\" &amp;0.1 &amp; "/\" &amp; F61</f>
        <v>/\22/\51/\0.1/\46.1800479996961</v>
      </c>
      <c r="D64" s="345" t="s">
        <v>2665</v>
      </c>
    </row>
    <row r="65" spans="1:8" ht="16" thickTop="1" x14ac:dyDescent="0.35">
      <c r="B65" s="96">
        <f ca="1">[1]!stdnum_A($C$64)</f>
        <v>46.1800479996961</v>
      </c>
      <c r="C65" s="346"/>
      <c r="D65" s="342"/>
    </row>
    <row r="66" spans="1:8" x14ac:dyDescent="0.35">
      <c r="B66" s="96">
        <f ca="1">[1]!stdnum_B($C$64)</f>
        <v>55.87785807963229</v>
      </c>
      <c r="C66" s="346"/>
      <c r="D66" s="342"/>
    </row>
    <row r="67" spans="1:8" x14ac:dyDescent="0.35">
      <c r="B67" s="96">
        <f ca="1">[1]!stdnum_C($C$64)</f>
        <v>50.798052799665712</v>
      </c>
      <c r="C67" s="346"/>
      <c r="D67" s="342"/>
    </row>
    <row r="68" spans="1:8" x14ac:dyDescent="0.35">
      <c r="B68" s="96">
        <f ca="1">[1]!stdnum_D($C$64)</f>
        <v>41.981861817905546</v>
      </c>
      <c r="C68" s="346"/>
      <c r="D68" s="342"/>
    </row>
    <row r="69" spans="1:8" ht="16" thickBot="1" x14ac:dyDescent="0.4">
      <c r="B69" s="97">
        <f ca="1">[1]!stdnum_E($C$64)</f>
        <v>38.165328925368676</v>
      </c>
      <c r="C69" s="340"/>
      <c r="D69" s="339"/>
    </row>
    <row r="70" spans="1:8" ht="16" thickTop="1" x14ac:dyDescent="0.35"/>
    <row r="72" spans="1:8" x14ac:dyDescent="0.35">
      <c r="A72" s="88" t="s">
        <v>1810</v>
      </c>
      <c r="B72" s="2"/>
      <c r="C72" s="2"/>
      <c r="D72" s="2"/>
      <c r="E72" s="2"/>
      <c r="F72" s="2"/>
    </row>
    <row r="73" spans="1:8" x14ac:dyDescent="0.35">
      <c r="A73" s="100" t="s">
        <v>3687</v>
      </c>
      <c r="B73" s="7">
        <f ca="1">RANDBETWEEN(0,40)*G78/1000</f>
        <v>2.3E-2</v>
      </c>
      <c r="C73" s="7">
        <f ca="1">RANDBETWEEN(40,120)/1000</f>
        <v>6.3E-2</v>
      </c>
      <c r="D73" s="7">
        <f ca="1">RANDBETWEEN(180,260)/1000</f>
        <v>0.25600000000000001</v>
      </c>
      <c r="E73" s="7">
        <f ca="1">RANDBETWEEN(120,180)/1000</f>
        <v>0.123</v>
      </c>
      <c r="F73" s="2"/>
      <c r="G73" s="159">
        <f ca="1">AVERAGE(B73:E73)</f>
        <v>0.11624999999999999</v>
      </c>
      <c r="H73" s="159">
        <f ca="1">STDEVP(B73:E73)</f>
        <v>8.8185528858197609E-2</v>
      </c>
    </row>
    <row r="74" spans="1:8" x14ac:dyDescent="0.35">
      <c r="A74" s="100" t="s">
        <v>3688</v>
      </c>
      <c r="B74" s="7">
        <f ca="1">RANDBETWEEN(120,240)/1000</f>
        <v>0.216</v>
      </c>
      <c r="C74" s="7">
        <f ca="1">RANDBETWEEN(90,300)/1000</f>
        <v>0.27100000000000002</v>
      </c>
      <c r="D74" s="7">
        <f ca="1">RANDBETWEEN(80,180)/1000</f>
        <v>0.16</v>
      </c>
      <c r="E74" s="7">
        <f ca="1">RANDBETWEEN(40,80)*H78/1000</f>
        <v>-6.2E-2</v>
      </c>
      <c r="F74" s="2"/>
      <c r="G74" s="159">
        <f ca="1">AVERAGE(B74:E74)</f>
        <v>0.14624999999999999</v>
      </c>
      <c r="H74" s="159">
        <f ca="1">STDEVP(B74:E74)</f>
        <v>0.1264760352794157</v>
      </c>
    </row>
    <row r="75" spans="1:8" x14ac:dyDescent="0.35">
      <c r="A75" s="350" t="s">
        <v>2781</v>
      </c>
      <c r="B75" s="352">
        <f ca="1">$A$77*B73+$A$78*B74</f>
        <v>0.10985</v>
      </c>
      <c r="C75" s="352">
        <f ca="1">$A$77*C73+$A$78*C74</f>
        <v>0.15660000000000002</v>
      </c>
      <c r="D75" s="352">
        <f ca="1">$A$77*D73+$A$78*D74</f>
        <v>0.21279999999999999</v>
      </c>
      <c r="E75" s="352">
        <f ca="1">$A$77*E73+$A$78*E74</f>
        <v>3.9750000000000008E-2</v>
      </c>
      <c r="F75" s="2"/>
      <c r="G75" s="159">
        <f ca="1">AVERAGE(B75:E75)</f>
        <v>0.12975</v>
      </c>
      <c r="H75" s="159">
        <f ca="1">STDEVP(B75:E75)</f>
        <v>6.3470928384576228E-2</v>
      </c>
    </row>
    <row r="76" spans="1:8" x14ac:dyDescent="0.35">
      <c r="G76" s="100" t="s">
        <v>3058</v>
      </c>
      <c r="H76" s="100" t="s">
        <v>1941</v>
      </c>
    </row>
    <row r="77" spans="1:8" x14ac:dyDescent="0.35">
      <c r="A77" s="12">
        <f ca="1">RANDBETWEEN(4,14)*5/100</f>
        <v>0.55000000000000004</v>
      </c>
      <c r="B77" s="350" t="s">
        <v>2779</v>
      </c>
      <c r="D77" s="159">
        <f ca="1">A77*H73+A78*H74</f>
        <v>0.10541625674774574</v>
      </c>
      <c r="E77" s="350" t="s">
        <v>2782</v>
      </c>
    </row>
    <row r="78" spans="1:8" x14ac:dyDescent="0.35">
      <c r="A78" s="351">
        <f ca="1">1-A77</f>
        <v>0.44999999999999996</v>
      </c>
      <c r="B78" s="350" t="s">
        <v>2780</v>
      </c>
      <c r="D78" s="25">
        <f ca="1">(D77-H75)*10000</f>
        <v>419.45328363169511</v>
      </c>
      <c r="E78" s="350" t="s">
        <v>697</v>
      </c>
      <c r="G78" s="355">
        <f ca="1">(-1)^(RANDBETWEEN(1,2))</f>
        <v>1</v>
      </c>
      <c r="H78" s="355">
        <f ca="1">(-1)^(RANDBETWEEN(1,2))</f>
        <v>-1</v>
      </c>
    </row>
    <row r="79" spans="1:8" ht="16" thickBot="1" x14ac:dyDescent="0.4"/>
    <row r="80" spans="1:8" ht="16.5" thickTop="1" thickBot="1" x14ac:dyDescent="0.4">
      <c r="B80" s="343" t="str">
        <f ca="1">[1]!alpha_ans($C$80)</f>
        <v>D</v>
      </c>
      <c r="C80" s="344" t="str">
        <f ca="1" xml:space="preserve"> "/\" &amp;RANDBETWEEN( 1,5) &amp; "/\" &amp;RANDBETWEEN( 1,120) &amp; "/\" &amp;RANDBETWEEN( 1,6) &amp; "/\" &amp;RANDBETWEEN( 1,2) &amp; "/\" &amp; H75 &amp; "/\" &amp; "Mask" &amp; "/\" &amp; "Mask" &amp; "/\" &amp; D78 &amp; "/\" &amp; "Mask"</f>
        <v>/\4/\11/\5/\2/\0.0634709283845762/\Mask/\Mask/\419.453283631695/\Mask</v>
      </c>
      <c r="D80" s="345" t="s">
        <v>2783</v>
      </c>
    </row>
    <row r="81" spans="1:4" ht="16" thickTop="1" x14ac:dyDescent="0.35">
      <c r="B81" s="108">
        <f ca="1">[1]!onepair_A($C$80)</f>
        <v>6.34709283845762E-2</v>
      </c>
      <c r="C81" s="346">
        <f ca="1">[1]!onepair_A2($C$80)</f>
        <v>482.37127617644899</v>
      </c>
      <c r="D81" s="342"/>
    </row>
    <row r="82" spans="1:4" x14ac:dyDescent="0.35">
      <c r="B82" s="108">
        <f ca="1">[1]!onepair_B($C$80)</f>
        <v>4.79931405554452E-2</v>
      </c>
      <c r="C82" s="346">
        <f ca="1">[1]!onepair_B2($C$80)</f>
        <v>482.37127617644899</v>
      </c>
      <c r="D82" s="342"/>
    </row>
    <row r="83" spans="1:4" x14ac:dyDescent="0.35">
      <c r="B83" s="108">
        <f ca="1">[1]!onepair_C($C$80)</f>
        <v>5.51921116387619E-2</v>
      </c>
      <c r="C83" s="346">
        <f ca="1">[1]!onepair_C2($C$80)</f>
        <v>482.37127617644899</v>
      </c>
      <c r="D83" s="342"/>
    </row>
    <row r="84" spans="1:4" x14ac:dyDescent="0.35">
      <c r="B84" s="108">
        <f ca="1">[1]!onepair_D($C$80)</f>
        <v>6.34709283845762E-2</v>
      </c>
      <c r="C84" s="346">
        <f ca="1">[1]!onepair_D2($C$80)</f>
        <v>419.453283631695</v>
      </c>
      <c r="D84" s="342"/>
    </row>
    <row r="85" spans="1:4" ht="16" thickBot="1" x14ac:dyDescent="0.4">
      <c r="B85" s="109">
        <f ca="1">[1]!onepair_E($C$80)</f>
        <v>5.51921116387619E-2</v>
      </c>
      <c r="C85" s="340">
        <f ca="1">[1]!onepair_E2($C$80)</f>
        <v>419.453283631695</v>
      </c>
      <c r="D85" s="339"/>
    </row>
    <row r="86" spans="1:4" ht="16" thickTop="1" x14ac:dyDescent="0.35"/>
    <row r="88" spans="1:4" x14ac:dyDescent="0.35">
      <c r="A88" s="347" t="s">
        <v>3013</v>
      </c>
    </row>
    <row r="89" spans="1:4" ht="16" thickBot="1" x14ac:dyDescent="0.4"/>
    <row r="90" spans="1:4" ht="16.5" thickTop="1" thickBot="1" x14ac:dyDescent="0.4">
      <c r="B90" s="343" t="str">
        <f ca="1">[1]!alpha_ans($C$90)</f>
        <v>C</v>
      </c>
      <c r="C90" s="344" t="str">
        <f ca="1" xml:space="preserve"> "/\" &amp;RANDBETWEEN( 1,5) &amp; "/\" &amp;RANDBETWEEN( 1,3) &amp; "/\" &amp;RANDBETWEEN( 1,2) &amp; "/\" &amp;"The two largest institutional investors in equities are ""Pension and retirement funds"" and ""Mutual funds""." &amp; "/\" &amp; "The two largest institutional investors in equities are ""Mutual funds"" and ""Insurance companies""." &amp; "/\" &amp; "The single largest type of financial security owned by households is ""corporate equities""." &amp; "/\" &amp; "The single largest type of financial security owned by households is ""credit market instruments""." &amp; "/\" &amp; """Total financial assets"" are larger for Commercial banks than for any other institutional investor." &amp; "/\" &amp; "Total financial assets are larger for Commercial banks than for Households."</f>
        <v>/\3/\1/\1/\The two largest institutional investors in equities are "Pension and retirement funds" and "Mutual funds"./\The two largest institutional investors in equities are "Mutual funds" and "Insurance companies"./\The single largest type of financial security owned by households is "corporate equities"./\The single largest type of financial security owned by households is "credit market instruments"./\"Total financial assets" are larger for Commercial banks than for any other institutional investor./\Total financial assets are larger for Commercial banks than for Households.</v>
      </c>
      <c r="D90" s="345" t="s">
        <v>1086</v>
      </c>
    </row>
    <row r="91" spans="1:4" ht="16" thickTop="1" x14ac:dyDescent="0.35">
      <c r="B91" s="353" t="str">
        <f ca="1">[1]!complexV_A($C$90)</f>
        <v>The two largest institutional investors in equities are "Mutual funds" and "Insurance companies".</v>
      </c>
      <c r="C91" s="346"/>
      <c r="D91" s="342"/>
    </row>
    <row r="92" spans="1:4" x14ac:dyDescent="0.35">
      <c r="B92" s="353" t="str">
        <f ca="1">[1]!complexV_B($C$90)</f>
        <v>The single largest type of financial security owned by households is "credit market instruments".</v>
      </c>
      <c r="C92" s="346"/>
      <c r="D92" s="342"/>
    </row>
    <row r="93" spans="1:4" x14ac:dyDescent="0.35">
      <c r="B93" s="353" t="str">
        <f ca="1">[1]!complexV_C($C$90)</f>
        <v>"Total financial assets" are larger for Commercial banks than for any other institutional investor.</v>
      </c>
      <c r="C93" s="346"/>
      <c r="D93" s="342"/>
    </row>
    <row r="94" spans="1:4" x14ac:dyDescent="0.35">
      <c r="B94" s="353" t="str">
        <f ca="1">[1]!complexV_D($C$90)</f>
        <v>Two choices, A and B, are correct</v>
      </c>
      <c r="C94" s="346"/>
      <c r="D94" s="342"/>
    </row>
    <row r="95" spans="1:4" ht="16" thickBot="1" x14ac:dyDescent="0.4">
      <c r="B95" s="354" t="str">
        <f ca="1">[1]!complexV_E($C$90)</f>
        <v>The three A-B-C choices are all correct</v>
      </c>
      <c r="C95" s="340"/>
      <c r="D95" s="339"/>
    </row>
    <row r="96" spans="1:4" ht="16" thickTop="1" x14ac:dyDescent="0.35"/>
    <row r="98" spans="1:7" x14ac:dyDescent="0.35">
      <c r="A98" s="347" t="s">
        <v>3014</v>
      </c>
    </row>
    <row r="99" spans="1:7" x14ac:dyDescent="0.35">
      <c r="A99" s="24">
        <f ca="1">RANDBETWEEN(8,24)*4</f>
        <v>36</v>
      </c>
      <c r="B99" s="103" t="s">
        <v>991</v>
      </c>
      <c r="D99" s="13">
        <f ca="1">A102/(1+A101)</f>
        <v>133.91638225255971</v>
      </c>
      <c r="E99" s="103" t="s">
        <v>993</v>
      </c>
    </row>
    <row r="100" spans="1:7" x14ac:dyDescent="0.35">
      <c r="A100" s="24">
        <f ca="1">RANDBETWEEN(8,24)*4</f>
        <v>88</v>
      </c>
      <c r="B100" s="103" t="s">
        <v>991</v>
      </c>
      <c r="C100" s="103" t="str">
        <f ca="1">"(sum=$"&amp;A99+A100&amp;")"</f>
        <v>(sum=$124)</v>
      </c>
      <c r="D100" s="13">
        <f ca="1">ABS(A99+A100-D99)</f>
        <v>9.9163822525597141</v>
      </c>
      <c r="E100" s="103" t="s">
        <v>996</v>
      </c>
    </row>
    <row r="101" spans="1:7" x14ac:dyDescent="0.35">
      <c r="A101" s="324">
        <f ca="1">RANDBETWEEN(85,175)/1000</f>
        <v>0.17199999999999999</v>
      </c>
      <c r="B101" s="2" t="s">
        <v>3244</v>
      </c>
      <c r="D101" s="356" t="s">
        <v>994</v>
      </c>
      <c r="E101" s="103" t="str">
        <f ca="1">IF(D99&gt;(A99+A100),"long position in the spot market by borrowing money at the interest rate and entering a short position in the futures market.","short position in the spot market, investing the proceeds at the interest rate, and also entering a long position in the futures market.")</f>
        <v>long position in the spot market by borrowing money at the interest rate and entering a short position in the futures market.</v>
      </c>
    </row>
    <row r="102" spans="1:7" x14ac:dyDescent="0.35">
      <c r="A102" s="13">
        <f ca="1">ROUND((A99+A100)*(1+A101)*(1+RANDBETWEEN(8,13)/100)^(IF(RANDBETWEEN(0,1)=0,1,-1)),2)</f>
        <v>156.94999999999999</v>
      </c>
      <c r="B102" s="103" t="s">
        <v>992</v>
      </c>
      <c r="D102" s="356" t="s">
        <v>995</v>
      </c>
      <c r="E102" s="103" t="str">
        <f ca="1">IF(D99&lt;(A99+A100),"long position in the spot market by borrowing money at the interest rate and entering a short position in the futures market.","short position in the spot market, investing the proceeds at the interest rate, and also entering a long position in the futures market.")</f>
        <v>short position in the spot market, investing the proceeds at the interest rate, and also entering a long position in the futures market.</v>
      </c>
    </row>
    <row r="103" spans="1:7" ht="16" thickBot="1" x14ac:dyDescent="0.4"/>
    <row r="104" spans="1:7" ht="16.5" thickTop="1" thickBot="1" x14ac:dyDescent="0.4">
      <c r="B104" s="343" t="str">
        <f ca="1">[1]!alpha_ans($C$104)</f>
        <v>E</v>
      </c>
      <c r="C104" s="344" t="str">
        <f ca="1" xml:space="preserve"> "/\" &amp;RANDBETWEEN( 1,5) &amp; "/\" &amp;RANDBETWEEN( 1,120) &amp; "/\" &amp;RANDBETWEEN( 1,6) &amp; "/\" &amp;RANDBETWEEN( 1,2) &amp; "/\" &amp; D100 &amp; "/\" &amp; "Mask" &amp; "/\" &amp; "Mask" &amp; "/\" &amp; E101 &amp; "/\" &amp; E102</f>
        <v>/\5/\105/\5/\2/\9.91638225255971/\Mask/\Mask/\long position in the spot market by borrowing money at the interest rate and entering a short position in the futures market./\short position in the spot market, investing the proceeds at the interest rate, and also entering a long position in the futures market.</v>
      </c>
      <c r="D104" s="345" t="s">
        <v>997</v>
      </c>
    </row>
    <row r="105" spans="1:7" ht="16" thickTop="1" x14ac:dyDescent="0.35">
      <c r="B105" s="96">
        <f ca="1">[1]!onepair_A($C$104)</f>
        <v>8.6229410891823601</v>
      </c>
      <c r="C105" s="346" t="str">
        <f ca="1">[1]!onepair_A2($C$104)</f>
        <v>short position in the spot market, investing the proceeds at the interest rate, and also entering a long position in the futures market.</v>
      </c>
      <c r="D105" s="342"/>
    </row>
    <row r="106" spans="1:7" x14ac:dyDescent="0.35">
      <c r="B106" s="96">
        <f ca="1">[1]!onepair_B($C$104)</f>
        <v>7.4982096427672698</v>
      </c>
      <c r="C106" s="346" t="str">
        <f ca="1">[1]!onepair_B2($C$104)</f>
        <v>long position in the spot market by borrowing money at the interest rate and entering a short position in the futures market.</v>
      </c>
      <c r="D106" s="342"/>
    </row>
    <row r="107" spans="1:7" x14ac:dyDescent="0.35">
      <c r="B107" s="96">
        <f ca="1">[1]!onepair_C($C$104)</f>
        <v>7.4982096427672698</v>
      </c>
      <c r="C107" s="346" t="str">
        <f ca="1">[1]!onepair_C2($C$104)</f>
        <v>short position in the spot market, investing the proceeds at the interest rate, and also entering a long position in the futures market.</v>
      </c>
      <c r="D107" s="342"/>
    </row>
    <row r="108" spans="1:7" x14ac:dyDescent="0.35">
      <c r="B108" s="96">
        <f ca="1">[1]!onepair_D($C$104)</f>
        <v>9.9163822525597105</v>
      </c>
      <c r="C108" s="346" t="str">
        <f ca="1">[1]!onepair_D2($C$104)</f>
        <v>short position in the spot market, investing the proceeds at the interest rate, and also entering a long position in the futures market.</v>
      </c>
      <c r="D108" s="342"/>
    </row>
    <row r="109" spans="1:7" ht="16" thickBot="1" x14ac:dyDescent="0.4">
      <c r="B109" s="97">
        <f ca="1">[1]!onepair_E($C$104)</f>
        <v>9.9163822525597105</v>
      </c>
      <c r="C109" s="340" t="str">
        <f ca="1">[1]!onepair_E2($C$104)</f>
        <v>long position in the spot market by borrowing money at the interest rate and entering a short position in the futures market.</v>
      </c>
      <c r="D109" s="339"/>
    </row>
    <row r="110" spans="1:7" ht="16" thickTop="1" x14ac:dyDescent="0.35"/>
    <row r="112" spans="1:7" x14ac:dyDescent="0.35">
      <c r="A112" s="88" t="s">
        <v>1811</v>
      </c>
      <c r="B112" s="2"/>
      <c r="C112" s="2"/>
      <c r="D112" s="2"/>
      <c r="E112" s="2"/>
      <c r="F112" s="2"/>
      <c r="G112" s="2"/>
    </row>
    <row r="113" spans="1:7" x14ac:dyDescent="0.35">
      <c r="A113" s="407" t="s">
        <v>3629</v>
      </c>
      <c r="B113" s="407"/>
      <c r="C113" s="2"/>
      <c r="D113" s="2"/>
      <c r="E113" s="2"/>
      <c r="F113" s="2"/>
      <c r="G113" s="2"/>
    </row>
    <row r="114" spans="1:7" x14ac:dyDescent="0.35">
      <c r="A114" s="4" t="str">
        <f ca="1">INDEX(F115:F119,G114)</f>
        <v>renminbi</v>
      </c>
      <c r="B114" s="2" t="s">
        <v>1242</v>
      </c>
      <c r="C114" s="2"/>
      <c r="D114" s="2"/>
      <c r="E114" s="2"/>
      <c r="F114" s="147" t="s">
        <v>3153</v>
      </c>
      <c r="G114" s="62">
        <f ca="1">RANDBETWEEN(1,5)</f>
        <v>3</v>
      </c>
    </row>
    <row r="115" spans="1:7" x14ac:dyDescent="0.35">
      <c r="A115" s="115">
        <f ca="1">RANDBETWEEN(40,100)/10</f>
        <v>8.6999999999999993</v>
      </c>
      <c r="B115" s="2" t="s">
        <v>1243</v>
      </c>
      <c r="C115" s="2"/>
      <c r="D115" s="2"/>
      <c r="E115" s="2"/>
      <c r="F115" s="2" t="s">
        <v>2436</v>
      </c>
      <c r="G115" s="2"/>
    </row>
    <row r="116" spans="1:7" x14ac:dyDescent="0.35">
      <c r="A116" s="20">
        <f ca="1">RANDBETWEEN(40,100)*250</f>
        <v>21750</v>
      </c>
      <c r="B116" s="2" t="s">
        <v>1241</v>
      </c>
      <c r="C116" s="2"/>
      <c r="D116" s="2"/>
      <c r="E116" s="2"/>
      <c r="F116" s="2" t="s">
        <v>3368</v>
      </c>
      <c r="G116" s="2"/>
    </row>
    <row r="117" spans="1:7" x14ac:dyDescent="0.35">
      <c r="A117" s="25">
        <f ca="1">A115*A116</f>
        <v>189224.99999999997</v>
      </c>
      <c r="B117" s="2" t="s">
        <v>1244</v>
      </c>
      <c r="C117" s="2"/>
      <c r="D117" s="2"/>
      <c r="E117" s="2"/>
      <c r="F117" s="2" t="s">
        <v>2437</v>
      </c>
      <c r="G117" s="2"/>
    </row>
    <row r="118" spans="1:7" x14ac:dyDescent="0.35">
      <c r="A118" s="2" t="str">
        <f ca="1">IF(C118&lt;0,"appreciate","depreciate")</f>
        <v>depreciate</v>
      </c>
      <c r="B118" s="2" t="s">
        <v>1245</v>
      </c>
      <c r="C118" s="62">
        <f ca="1">(-1)^RANDBETWEEN(1,2)</f>
        <v>1</v>
      </c>
      <c r="D118" s="2"/>
      <c r="E118" s="2"/>
      <c r="F118" s="2" t="s">
        <v>1496</v>
      </c>
      <c r="G118" s="2"/>
    </row>
    <row r="119" spans="1:7" x14ac:dyDescent="0.35">
      <c r="A119" s="23">
        <f ca="1">4*RANDBETWEEN(1,5)/100</f>
        <v>0.2</v>
      </c>
      <c r="B119" s="2" t="s">
        <v>8</v>
      </c>
      <c r="C119" s="2"/>
      <c r="D119" s="2"/>
      <c r="E119" s="2"/>
      <c r="F119" s="2" t="s">
        <v>1497</v>
      </c>
      <c r="G119" s="2"/>
    </row>
    <row r="120" spans="1:7" x14ac:dyDescent="0.35">
      <c r="A120" s="103">
        <f ca="1">A115*(1+C118*A119)</f>
        <v>10.44</v>
      </c>
      <c r="B120" s="103" t="s">
        <v>9</v>
      </c>
    </row>
    <row r="121" spans="1:7" x14ac:dyDescent="0.35">
      <c r="A121" s="20">
        <f ca="1">A117/A120</f>
        <v>18124.999999999996</v>
      </c>
      <c r="B121" s="103" t="s">
        <v>10</v>
      </c>
    </row>
    <row r="122" spans="1:7" x14ac:dyDescent="0.35">
      <c r="A122" s="20">
        <f ca="1">ABS(A116-A121)</f>
        <v>3625.0000000000036</v>
      </c>
      <c r="B122" s="103" t="str">
        <f ca="1">IF(A121&gt;A116,"bigger","less")</f>
        <v>less</v>
      </c>
      <c r="C122" s="103" t="str">
        <f ca="1">IF(A121&lt;A116,"bigger","less")</f>
        <v>bigger</v>
      </c>
    </row>
    <row r="123" spans="1:7" ht="16" thickBot="1" x14ac:dyDescent="0.4"/>
    <row r="124" spans="1:7" ht="16.5" thickTop="1" thickBot="1" x14ac:dyDescent="0.4">
      <c r="B124" s="343" t="str">
        <f ca="1">[1]!alpha_ans($C$124)</f>
        <v>D</v>
      </c>
      <c r="C124" s="344" t="str">
        <f ca="1" xml:space="preserve"> "/\" &amp;RANDBETWEEN( 1,5) &amp; "/\" &amp;RANDBETWEEN( 1,120) &amp; "/\" &amp;RANDBETWEEN( 1,6) &amp; "/\" &amp;RANDBETWEEN( 1,2) &amp; "/\" &amp; A122 &amp; "/\" &amp; "Mask" &amp; "/\" &amp; "Mask" &amp; "/\" &amp; B122 &amp; "/\" &amp; C122</f>
        <v>/\4/\7/\1/\2/\3625/\Mask/\Mask/\less/\bigger</v>
      </c>
      <c r="D124" s="345" t="s">
        <v>544</v>
      </c>
    </row>
    <row r="125" spans="1:7" ht="16" thickTop="1" x14ac:dyDescent="0.35">
      <c r="B125" s="101">
        <f ca="1">[1]!onepair_A($C$124)</f>
        <v>3625</v>
      </c>
      <c r="C125" s="346" t="str">
        <f ca="1">[1]!onepair_A2($C$124)</f>
        <v>bigger</v>
      </c>
      <c r="D125" s="342"/>
    </row>
    <row r="126" spans="1:7" x14ac:dyDescent="0.35">
      <c r="B126" s="101">
        <f ca="1">[1]!onepair_B($C$124)</f>
        <v>4168.75</v>
      </c>
      <c r="C126" s="346" t="str">
        <f ca="1">[1]!onepair_B2($C$124)</f>
        <v>bigger</v>
      </c>
      <c r="D126" s="342"/>
    </row>
    <row r="127" spans="1:7" x14ac:dyDescent="0.35">
      <c r="B127" s="101">
        <f ca="1">[1]!onepair_C($C$124)</f>
        <v>4168.75</v>
      </c>
      <c r="C127" s="346" t="str">
        <f ca="1">[1]!onepair_C2($C$124)</f>
        <v>less</v>
      </c>
      <c r="D127" s="342"/>
    </row>
    <row r="128" spans="1:7" x14ac:dyDescent="0.35">
      <c r="B128" s="101">
        <f ca="1">[1]!onepair_D($C$124)</f>
        <v>3625</v>
      </c>
      <c r="C128" s="346" t="str">
        <f ca="1">[1]!onepair_D2($C$124)</f>
        <v>less</v>
      </c>
      <c r="D128" s="342"/>
    </row>
    <row r="129" spans="1:7" ht="16" thickBot="1" x14ac:dyDescent="0.4">
      <c r="B129" s="102">
        <f ca="1">[1]!onepair_E($C$124)</f>
        <v>4794.0625</v>
      </c>
      <c r="C129" s="340" t="str">
        <f ca="1">[1]!onepair_E2($C$124)</f>
        <v>bigger</v>
      </c>
      <c r="D129" s="339"/>
    </row>
    <row r="130" spans="1:7" ht="16" thickTop="1" x14ac:dyDescent="0.35"/>
    <row r="132" spans="1:7" x14ac:dyDescent="0.35">
      <c r="A132" s="88" t="s">
        <v>2087</v>
      </c>
      <c r="B132" s="2"/>
      <c r="C132" s="2"/>
      <c r="D132" s="2"/>
      <c r="E132" s="2"/>
      <c r="F132" s="2"/>
      <c r="G132" s="2"/>
    </row>
    <row r="133" spans="1:7" x14ac:dyDescent="0.35">
      <c r="A133" s="13">
        <f ca="1">RANDBETWEEN(8,20)*2.5</f>
        <v>40</v>
      </c>
      <c r="B133" s="2" t="s">
        <v>3815</v>
      </c>
      <c r="C133" s="2"/>
      <c r="D133" s="2"/>
      <c r="E133" s="2"/>
      <c r="F133" s="10">
        <f ca="1">(A135*A140)*(1+A136/12)^A138</f>
        <v>15991.092083031583</v>
      </c>
      <c r="G133" s="2" t="s">
        <v>686</v>
      </c>
    </row>
    <row r="134" spans="1:7" x14ac:dyDescent="0.35">
      <c r="A134" s="27">
        <f ca="1">MROUND(A133*MIN((1+RANDBETWEEN(16,25)/100)^(IF(RANDBETWEEN(0,1)=0,1,-1)), 1/(1+RANDBETWEEN(16,25)/100)^(IF(RANDBETWEEN(0,1)=0,1,-1))),0.05)</f>
        <v>34.5</v>
      </c>
      <c r="B134" s="2" t="s">
        <v>1414</v>
      </c>
      <c r="C134" s="2"/>
      <c r="D134" s="2"/>
      <c r="E134" s="2"/>
      <c r="F134" s="3">
        <f ca="1">(A135*A139)/A137</f>
        <v>1500</v>
      </c>
      <c r="G134" s="2" t="s">
        <v>409</v>
      </c>
    </row>
    <row r="135" spans="1:7" x14ac:dyDescent="0.35">
      <c r="A135" s="10">
        <f ca="1">RANDBETWEEN(8,20)*1000</f>
        <v>18000</v>
      </c>
      <c r="B135" s="2" t="s">
        <v>405</v>
      </c>
      <c r="C135" s="2"/>
      <c r="D135" s="2"/>
      <c r="E135" s="2"/>
      <c r="F135" s="12">
        <f ca="1">RANDBETWEEN(3,12)*5/100</f>
        <v>0.35</v>
      </c>
      <c r="G135" s="2" t="s">
        <v>687</v>
      </c>
    </row>
    <row r="136" spans="1:7" x14ac:dyDescent="0.35">
      <c r="A136" s="29">
        <f ca="1">RANDBETWEEN(40,80)/1000</f>
        <v>4.4999999999999998E-2</v>
      </c>
      <c r="B136" s="2" t="s">
        <v>407</v>
      </c>
      <c r="C136" s="2"/>
      <c r="D136" s="2"/>
      <c r="E136" s="2"/>
      <c r="F136" s="10">
        <f ca="1">A135*(1+F135)</f>
        <v>24300</v>
      </c>
      <c r="G136" s="2" t="s">
        <v>2899</v>
      </c>
    </row>
    <row r="137" spans="1:7" x14ac:dyDescent="0.35">
      <c r="A137" s="13">
        <f ca="1">RANDBETWEEN(22,56)/10</f>
        <v>2.4</v>
      </c>
      <c r="B137" s="2" t="s">
        <v>410</v>
      </c>
      <c r="C137" s="2"/>
      <c r="D137" s="2"/>
      <c r="E137" s="2"/>
      <c r="F137" s="13">
        <f ca="1">(F136-F133)/F134</f>
        <v>5.5392719446456118</v>
      </c>
      <c r="G137" s="103" t="s">
        <v>688</v>
      </c>
    </row>
    <row r="138" spans="1:7" x14ac:dyDescent="0.35">
      <c r="A138" s="2">
        <f ca="1">RANDBETWEEN(14,30)</f>
        <v>28</v>
      </c>
      <c r="B138" s="2" t="s">
        <v>411</v>
      </c>
      <c r="C138" s="2"/>
      <c r="D138" s="2"/>
      <c r="E138" s="2"/>
      <c r="F138" s="13">
        <f ca="1">A133+F137</f>
        <v>45.539271944645613</v>
      </c>
      <c r="G138" s="2" t="s">
        <v>869</v>
      </c>
    </row>
    <row r="139" spans="1:7" x14ac:dyDescent="0.35">
      <c r="A139" s="12">
        <f ca="1">RANDBETWEEN(3,7)*5/100</f>
        <v>0.2</v>
      </c>
      <c r="B139" s="2" t="s">
        <v>684</v>
      </c>
      <c r="C139" s="2"/>
      <c r="D139" s="2"/>
      <c r="E139" s="2"/>
      <c r="F139" s="2"/>
      <c r="G139" s="2"/>
    </row>
    <row r="140" spans="1:7" x14ac:dyDescent="0.35">
      <c r="A140" s="351">
        <f ca="1">1-A139</f>
        <v>0.8</v>
      </c>
      <c r="B140" s="2" t="s">
        <v>685</v>
      </c>
    </row>
    <row r="141" spans="1:7" ht="16" thickBot="1" x14ac:dyDescent="0.4"/>
    <row r="142" spans="1:7" ht="16.5" thickTop="1" thickBot="1" x14ac:dyDescent="0.4">
      <c r="B142" s="343" t="str">
        <f ca="1">[1]!std_ans($C$142)</f>
        <v>A</v>
      </c>
      <c r="C142" s="344" t="str">
        <f ca="1" xml:space="preserve"> "/\" &amp;RANDBETWEEN( 1,120) &amp; "/\" &amp;RANDBETWEEN( 1,120) &amp; "/\" &amp;0.1 &amp; "/\" &amp; F138</f>
        <v>/\9/\89/\0.1/\45.5392719446456</v>
      </c>
      <c r="D142" s="345" t="s">
        <v>689</v>
      </c>
    </row>
    <row r="143" spans="1:7" ht="16" thickTop="1" x14ac:dyDescent="0.35">
      <c r="B143" s="96">
        <f ca="1">[1]!stdnum_A($C$142)</f>
        <v>45.539271944645598</v>
      </c>
      <c r="C143" s="346"/>
      <c r="D143" s="342"/>
    </row>
    <row r="144" spans="1:7" x14ac:dyDescent="0.35">
      <c r="B144" s="96">
        <f ca="1">[1]!stdnum_B($C$142)</f>
        <v>50.093199139110162</v>
      </c>
      <c r="C144" s="346"/>
      <c r="D144" s="342"/>
    </row>
    <row r="145" spans="1:8" x14ac:dyDescent="0.35">
      <c r="B145" s="96">
        <f ca="1">[1]!stdnum_C($C$142)</f>
        <v>34.214329034294202</v>
      </c>
      <c r="C145" s="346"/>
      <c r="D145" s="342"/>
    </row>
    <row r="146" spans="1:8" x14ac:dyDescent="0.35">
      <c r="B146" s="96">
        <f ca="1">[1]!stdnum_D($C$142)</f>
        <v>41.399338131495995</v>
      </c>
      <c r="C146" s="346"/>
      <c r="D146" s="342"/>
    </row>
    <row r="147" spans="1:8" ht="16" thickBot="1" x14ac:dyDescent="0.4">
      <c r="B147" s="97">
        <f ca="1">[1]!stdnum_E($C$142)</f>
        <v>37.635761937723629</v>
      </c>
      <c r="C147" s="340"/>
      <c r="D147" s="339"/>
    </row>
    <row r="148" spans="1:8" ht="16" thickTop="1" x14ac:dyDescent="0.35"/>
    <row r="150" spans="1:8" x14ac:dyDescent="0.35">
      <c r="A150" s="347" t="s">
        <v>3590</v>
      </c>
    </row>
    <row r="151" spans="1:8" x14ac:dyDescent="0.35">
      <c r="A151" s="8">
        <f ca="1">RANDBETWEEN(8,20)*4000</f>
        <v>36000</v>
      </c>
      <c r="B151" s="103" t="s">
        <v>792</v>
      </c>
      <c r="D151" s="358"/>
      <c r="E151" s="8">
        <f ca="1">E155-A151</f>
        <v>4666.6666666666715</v>
      </c>
      <c r="F151" s="103" t="s">
        <v>3459</v>
      </c>
    </row>
    <row r="152" spans="1:8" x14ac:dyDescent="0.35">
      <c r="A152" s="8">
        <f ca="1">ROUND(A151*MIN(vMask40, 1/vMask40),-2)</f>
        <v>25400</v>
      </c>
      <c r="B152" s="103" t="s">
        <v>107</v>
      </c>
      <c r="E152" s="8">
        <f ca="1">A155*A152</f>
        <v>4064</v>
      </c>
      <c r="F152" s="103" t="s">
        <v>3460</v>
      </c>
    </row>
    <row r="153" spans="1:8" x14ac:dyDescent="0.35">
      <c r="A153" s="8">
        <f ca="1">ROUND(MAX(vMask10,1/vMask10)*A154*A151,-2)</f>
        <v>48800</v>
      </c>
      <c r="B153" s="103" t="s">
        <v>3457</v>
      </c>
      <c r="E153" s="8">
        <f ca="1">E151+E152</f>
        <v>8730.6666666666715</v>
      </c>
      <c r="F153" s="103" t="s">
        <v>3458</v>
      </c>
    </row>
    <row r="154" spans="1:8" x14ac:dyDescent="0.35">
      <c r="A154" s="357">
        <f ca="1">RANDBETWEEN(8,28)/10</f>
        <v>1.2</v>
      </c>
      <c r="B154" s="103" t="s">
        <v>795</v>
      </c>
      <c r="E154" s="8">
        <f ca="1">A152+E151</f>
        <v>30066.666666666672</v>
      </c>
      <c r="F154" s="103" t="s">
        <v>793</v>
      </c>
      <c r="G154" s="358"/>
    </row>
    <row r="155" spans="1:8" x14ac:dyDescent="0.35">
      <c r="A155" s="23">
        <f ca="1">RANDBETWEEN(14,30)/100</f>
        <v>0.16</v>
      </c>
      <c r="B155" s="103" t="s">
        <v>791</v>
      </c>
      <c r="E155" s="8">
        <f ca="1">A153/A154</f>
        <v>40666.666666666672</v>
      </c>
      <c r="F155" s="103" t="s">
        <v>794</v>
      </c>
      <c r="H155" s="358"/>
    </row>
    <row r="156" spans="1:8" ht="16" thickBot="1" x14ac:dyDescent="0.4"/>
    <row r="157" spans="1:8" ht="16.5" thickTop="1" thickBot="1" x14ac:dyDescent="0.4">
      <c r="B157" s="343" t="str">
        <f ca="1">[1]!alpha_ans($C$157)</f>
        <v>D</v>
      </c>
      <c r="C157" s="344" t="str">
        <f ca="1" xml:space="preserve"> "/\" &amp;RANDBETWEEN( 1,5) &amp; "/\" &amp;RANDBETWEEN( 1,120) &amp; "/\" &amp;RANDBETWEEN( 1,6) &amp; "/\" &amp;RANDBETWEEN( 1,2) &amp; "/\" &amp; E151 &amp; "/\" &amp; "Mask" &amp; "/\" &amp; "Mask" &amp; "/\" &amp; E152 &amp; "/\" &amp; "Mask"</f>
        <v>/\4/\21/\3/\2/\4666.66666666667/\Mask/\Mask/\4064/\Mask</v>
      </c>
      <c r="D157" s="345" t="s">
        <v>796</v>
      </c>
    </row>
    <row r="158" spans="1:8" ht="16" thickTop="1" x14ac:dyDescent="0.35">
      <c r="B158" s="101">
        <f ca="1">[1]!onepair_A($C$157)</f>
        <v>4666.6666666666697</v>
      </c>
      <c r="C158" s="142">
        <f ca="1">[1]!onepair_A2($C$157)</f>
        <v>4673.6000000000004</v>
      </c>
      <c r="D158" s="342"/>
    </row>
    <row r="159" spans="1:8" x14ac:dyDescent="0.35">
      <c r="B159" s="101">
        <f ca="1">[1]!onepair_B($C$157)</f>
        <v>5366.6666666666697</v>
      </c>
      <c r="C159" s="142">
        <f ca="1">[1]!onepair_B2($C$157)</f>
        <v>4673.6000000000004</v>
      </c>
      <c r="D159" s="342"/>
    </row>
    <row r="160" spans="1:8" x14ac:dyDescent="0.35">
      <c r="B160" s="101">
        <f ca="1">[1]!onepair_C($C$157)</f>
        <v>4057.9710144927599</v>
      </c>
      <c r="C160" s="142">
        <f ca="1">[1]!onepair_C2($C$157)</f>
        <v>4673.6000000000004</v>
      </c>
      <c r="D160" s="342"/>
    </row>
    <row r="161" spans="1:7" x14ac:dyDescent="0.35">
      <c r="B161" s="101">
        <f ca="1">[1]!onepair_D($C$157)</f>
        <v>4666.6666666666697</v>
      </c>
      <c r="C161" s="142">
        <f ca="1">[1]!onepair_D2($C$157)</f>
        <v>4064</v>
      </c>
      <c r="D161" s="342"/>
    </row>
    <row r="162" spans="1:7" ht="16" thickBot="1" x14ac:dyDescent="0.4">
      <c r="B162" s="102">
        <f ca="1">[1]!onepair_E($C$157)</f>
        <v>5366.6666666666697</v>
      </c>
      <c r="C162" s="320">
        <f ca="1">[1]!onepair_E2($C$157)</f>
        <v>4064</v>
      </c>
      <c r="D162" s="339"/>
    </row>
    <row r="163" spans="1:7" ht="16" thickTop="1" x14ac:dyDescent="0.35"/>
    <row r="165" spans="1:7" x14ac:dyDescent="0.35">
      <c r="A165" s="347" t="s">
        <v>3589</v>
      </c>
    </row>
    <row r="166" spans="1:7" x14ac:dyDescent="0.35">
      <c r="A166" s="282">
        <f ca="1">RANDBETWEEN(200,400)*100</f>
        <v>37800</v>
      </c>
      <c r="B166" s="103" t="s">
        <v>3040</v>
      </c>
      <c r="E166" s="8">
        <f ca="1">A166*A167</f>
        <v>1406160</v>
      </c>
      <c r="F166" s="103" t="s">
        <v>3045</v>
      </c>
    </row>
    <row r="167" spans="1:7" x14ac:dyDescent="0.35">
      <c r="A167" s="13">
        <f ca="1">RANDBETWEEN(100,400)/10</f>
        <v>37.200000000000003</v>
      </c>
      <c r="B167" s="103" t="s">
        <v>3041</v>
      </c>
      <c r="E167" s="8">
        <f ca="1">E166+A170+E168</f>
        <v>1799860</v>
      </c>
      <c r="F167" s="103" t="s">
        <v>593</v>
      </c>
    </row>
    <row r="168" spans="1:7" x14ac:dyDescent="0.35">
      <c r="A168" s="282">
        <f ca="1">A166+C168</f>
        <v>39530</v>
      </c>
      <c r="B168" s="103" t="s">
        <v>3042</v>
      </c>
      <c r="C168" s="103">
        <f ca="1">RANDBETWEEN(100,800)*5</f>
        <v>1730</v>
      </c>
      <c r="E168" s="8">
        <f ca="1">ROUND((IF(RANDBETWEEN(0,1)=0,1,-1))*E166*RANDBETWEEN(3,8)/100,-2)</f>
        <v>42200</v>
      </c>
      <c r="F168" s="103" t="s">
        <v>3046</v>
      </c>
    </row>
    <row r="169" spans="1:7" x14ac:dyDescent="0.35">
      <c r="A169" s="13">
        <f ca="1">ROUND(E167/A168,2)</f>
        <v>45.53</v>
      </c>
      <c r="B169" s="103" t="s">
        <v>3043</v>
      </c>
      <c r="E169" s="264">
        <f ca="1">ABS(E168)/1000</f>
        <v>42.2</v>
      </c>
      <c r="F169" s="103" t="str">
        <f ca="1">IF(E168&gt;0,"sales","repurchases")</f>
        <v>sales</v>
      </c>
      <c r="G169" s="103" t="str">
        <f ca="1">IF(E168&lt;0,"sales","repurchases")</f>
        <v>repurchases</v>
      </c>
    </row>
    <row r="170" spans="1:7" x14ac:dyDescent="0.35">
      <c r="A170" s="8">
        <f ca="1">ROUND(RANDBETWEEN(15,30)*E166/(100),-2)</f>
        <v>351500</v>
      </c>
      <c r="B170" s="103" t="s">
        <v>3044</v>
      </c>
    </row>
    <row r="171" spans="1:7" ht="16" thickBot="1" x14ac:dyDescent="0.4"/>
    <row r="172" spans="1:7" ht="16.5" thickTop="1" thickBot="1" x14ac:dyDescent="0.4">
      <c r="B172" s="343" t="str">
        <f ca="1">[1]!alpha_ans($C$172)</f>
        <v>A</v>
      </c>
      <c r="C172" s="344" t="str">
        <f ca="1" xml:space="preserve"> "/\" &amp;RANDBETWEEN( 1,5) &amp; "/\" &amp;RANDBETWEEN( 1,120) &amp; "/\" &amp;RANDBETWEEN( 1,6) &amp; "/\" &amp;RANDBETWEEN( 1,2) &amp; "/\" &amp; E169 &amp; "/\" &amp; "Mask" &amp; "/\" &amp; "Mask" &amp; "/\" &amp; F169 &amp; "/\" &amp; G169</f>
        <v>/\1/\5/\3/\2/\42.2/\Mask/\Mask/\sales/\repurchases</v>
      </c>
      <c r="D172" s="345" t="s">
        <v>2366</v>
      </c>
    </row>
    <row r="173" spans="1:7" ht="16" thickTop="1" x14ac:dyDescent="0.35">
      <c r="B173" s="300">
        <f ca="1">[1]!onepair_A($C$172)</f>
        <v>42.2</v>
      </c>
      <c r="C173" s="346" t="str">
        <f ca="1">[1]!onepair_A2($C$172)</f>
        <v>sales</v>
      </c>
      <c r="D173" s="342"/>
    </row>
    <row r="174" spans="1:7" x14ac:dyDescent="0.35">
      <c r="B174" s="300">
        <f ca="1">[1]!onepair_B($C$172)</f>
        <v>36.695652173912997</v>
      </c>
      <c r="C174" s="346" t="str">
        <f ca="1">[1]!onepair_B2($C$172)</f>
        <v>sales</v>
      </c>
      <c r="D174" s="342"/>
    </row>
    <row r="175" spans="1:7" x14ac:dyDescent="0.35">
      <c r="B175" s="300">
        <f ca="1">[1]!onepair_C($C$172)</f>
        <v>48.53</v>
      </c>
      <c r="C175" s="346" t="str">
        <f ca="1">[1]!onepair_C2($C$172)</f>
        <v>repurchases</v>
      </c>
      <c r="D175" s="342"/>
    </row>
    <row r="176" spans="1:7" x14ac:dyDescent="0.35">
      <c r="B176" s="300">
        <f ca="1">[1]!onepair_D($C$172)</f>
        <v>36.695652173912997</v>
      </c>
      <c r="C176" s="346" t="str">
        <f ca="1">[1]!onepair_D2($C$172)</f>
        <v>repurchases</v>
      </c>
      <c r="D176" s="342"/>
    </row>
    <row r="177" spans="1:6" ht="16" thickBot="1" x14ac:dyDescent="0.4">
      <c r="B177" s="301">
        <f ca="1">[1]!onepair_E($C$172)</f>
        <v>48.53</v>
      </c>
      <c r="C177" s="340" t="str">
        <f ca="1">[1]!onepair_E2($C$172)</f>
        <v>sales</v>
      </c>
      <c r="D177" s="339"/>
    </row>
    <row r="178" spans="1:6" ht="16" thickTop="1" x14ac:dyDescent="0.35"/>
    <row r="180" spans="1:6" x14ac:dyDescent="0.35">
      <c r="A180" s="88" t="s">
        <v>3591</v>
      </c>
      <c r="B180" s="2"/>
      <c r="C180" s="2"/>
      <c r="D180" s="2"/>
      <c r="E180" s="2"/>
      <c r="F180" s="2"/>
    </row>
    <row r="181" spans="1:6" x14ac:dyDescent="0.35">
      <c r="A181" s="8">
        <f ca="1">RANDBETWEEN(25,50)*100</f>
        <v>4000</v>
      </c>
      <c r="B181" s="28" t="s">
        <v>817</v>
      </c>
      <c r="C181" s="2"/>
      <c r="D181" s="2"/>
      <c r="E181" s="8">
        <f ca="1">A181*A184</f>
        <v>5600</v>
      </c>
      <c r="F181" s="28" t="s">
        <v>1757</v>
      </c>
    </row>
    <row r="182" spans="1:6" x14ac:dyDescent="0.35">
      <c r="A182" s="8">
        <f ca="1">RANDBETWEEN(25,50)*100</f>
        <v>4500</v>
      </c>
      <c r="B182" s="2" t="s">
        <v>2624</v>
      </c>
      <c r="C182" s="2"/>
      <c r="D182" s="2"/>
      <c r="E182" s="8">
        <f ca="1">A186*A185</f>
        <v>1338.75</v>
      </c>
      <c r="F182" s="2" t="s">
        <v>1754</v>
      </c>
    </row>
    <row r="183" spans="1:6" x14ac:dyDescent="0.35">
      <c r="A183" s="10">
        <f ca="1">A181+A182</f>
        <v>8500</v>
      </c>
      <c r="B183" s="2" t="s">
        <v>2625</v>
      </c>
      <c r="C183" s="2"/>
      <c r="D183" s="2"/>
      <c r="E183" s="8">
        <f ca="1">E182*A187</f>
        <v>803.25000000000011</v>
      </c>
      <c r="F183" s="28" t="s">
        <v>1755</v>
      </c>
    </row>
    <row r="184" spans="1:6" x14ac:dyDescent="0.35">
      <c r="A184" s="30">
        <f ca="1">IF(RANDBETWEEN(0,1)=0,RANDBETWEEN(60,80)/100,RANDBETWEEN(120,140)/100)</f>
        <v>1.4</v>
      </c>
      <c r="B184" s="28" t="s">
        <v>1752</v>
      </c>
      <c r="C184" s="2"/>
      <c r="D184" s="2"/>
      <c r="E184" s="8">
        <f ca="1">E182-E183</f>
        <v>535.49999999999989</v>
      </c>
      <c r="F184" s="2" t="s">
        <v>1756</v>
      </c>
    </row>
    <row r="185" spans="1:6" x14ac:dyDescent="0.35">
      <c r="A185" s="8">
        <f ca="1">A183*D185</f>
        <v>21250</v>
      </c>
      <c r="B185" s="28" t="s">
        <v>1750</v>
      </c>
      <c r="C185" s="2"/>
      <c r="D185" s="333">
        <f ca="1">RANDBETWEEN(14,45)/10</f>
        <v>2.5</v>
      </c>
      <c r="E185" s="10">
        <f ca="1">E186*A184</f>
        <v>6349.7</v>
      </c>
      <c r="F185" s="28" t="s">
        <v>1446</v>
      </c>
    </row>
    <row r="186" spans="1:6" x14ac:dyDescent="0.35">
      <c r="A186" s="14">
        <f ca="1">RANDBETWEEN(50,110)/1000</f>
        <v>6.3E-2</v>
      </c>
      <c r="B186" s="28" t="s">
        <v>88</v>
      </c>
      <c r="C186" s="2"/>
      <c r="D186" s="2"/>
      <c r="E186" s="8">
        <f ca="1">A181+E184</f>
        <v>4535.5</v>
      </c>
      <c r="F186" s="28" t="s">
        <v>3029</v>
      </c>
    </row>
    <row r="187" spans="1:6" x14ac:dyDescent="0.35">
      <c r="A187" s="12">
        <f ca="1">0.05*RANDBETWEEN(6,12)</f>
        <v>0.60000000000000009</v>
      </c>
      <c r="B187" s="28" t="s">
        <v>3243</v>
      </c>
      <c r="C187" s="2"/>
      <c r="D187" s="2"/>
      <c r="E187" s="14">
        <f ca="1">E182/A181</f>
        <v>0.33468750000000003</v>
      </c>
      <c r="F187" s="2" t="s">
        <v>3030</v>
      </c>
    </row>
    <row r="188" spans="1:6" x14ac:dyDescent="0.35">
      <c r="A188" s="358">
        <f ca="1">A183-A189</f>
        <v>4250</v>
      </c>
      <c r="B188" s="103" t="s">
        <v>3031</v>
      </c>
      <c r="C188" s="2"/>
      <c r="D188" s="2"/>
      <c r="E188" s="14">
        <f ca="1">(E185+E183)/E181-1</f>
        <v>0.27731250000000007</v>
      </c>
      <c r="F188" s="2" t="s">
        <v>870</v>
      </c>
    </row>
    <row r="189" spans="1:6" x14ac:dyDescent="0.35">
      <c r="A189" s="358">
        <f ca="1">A183*RANDBETWEEN(8,12)*5/100</f>
        <v>4250</v>
      </c>
      <c r="B189" s="103" t="s">
        <v>3032</v>
      </c>
      <c r="D189" s="2"/>
      <c r="E189" s="8">
        <f ca="1">A185*(1-A186)</f>
        <v>19911.25</v>
      </c>
      <c r="F189" s="103" t="s">
        <v>3033</v>
      </c>
    </row>
    <row r="190" spans="1:6" ht="16" thickBot="1" x14ac:dyDescent="0.4">
      <c r="A190" s="332"/>
      <c r="B190" s="28"/>
      <c r="C190" s="2"/>
      <c r="D190" s="2"/>
      <c r="E190" s="31"/>
      <c r="F190" s="28"/>
    </row>
    <row r="191" spans="1:6" ht="16.5" thickTop="1" thickBot="1" x14ac:dyDescent="0.4">
      <c r="A191" s="12"/>
      <c r="B191" s="76" t="str">
        <f ca="1">[1]!alpha_ans($C$191)</f>
        <v>D</v>
      </c>
      <c r="C191" s="79" t="str">
        <f ca="1" xml:space="preserve"> "/\" &amp;RANDBETWEEN( 1,5) &amp; "/\" &amp;RANDBETWEEN( 1,120) &amp; "/\" &amp;RANDBETWEEN( 1,6) &amp; "/\" &amp;RANDBETWEEN( 1,2) &amp; "/\" &amp; E188 &amp; "/\" &amp; "Mask" &amp; "/\" &amp; "Mask" &amp; "/\" &amp; E187 &amp; "/\" &amp; "Mask"</f>
        <v>/\4/\118/\1/\2/\0.2773125/\Mask/\Mask/\0.3346875/\Mask</v>
      </c>
      <c r="D191" s="80" t="s">
        <v>3034</v>
      </c>
      <c r="F191" s="28"/>
    </row>
    <row r="192" spans="1:6" ht="16" thickTop="1" x14ac:dyDescent="0.35">
      <c r="A192" s="12"/>
      <c r="B192" s="92">
        <f ca="1">[1]!onepair_A($C$191)</f>
        <v>0.36674578125000001</v>
      </c>
      <c r="C192" s="242">
        <f ca="1">[1]!onepair_A2($C$191)</f>
        <v>0.38489062499999999</v>
      </c>
      <c r="D192" s="342"/>
    </row>
    <row r="193" spans="1:7" x14ac:dyDescent="0.35">
      <c r="A193" s="28"/>
      <c r="B193" s="92">
        <f ca="1">[1]!onepair_B($C$191)</f>
        <v>0.36674578125000001</v>
      </c>
      <c r="C193" s="242">
        <f ca="1">[1]!onepair_B2($C$191)</f>
        <v>0.33468750000000003</v>
      </c>
      <c r="D193" s="342"/>
    </row>
    <row r="194" spans="1:7" x14ac:dyDescent="0.35">
      <c r="B194" s="92">
        <f ca="1">[1]!onepair_C($C$191)</f>
        <v>0.31890937499999999</v>
      </c>
      <c r="C194" s="242">
        <f ca="1">[1]!onepair_C2($C$191)</f>
        <v>0.33468750000000003</v>
      </c>
      <c r="D194" s="342"/>
    </row>
    <row r="195" spans="1:7" x14ac:dyDescent="0.35">
      <c r="B195" s="92">
        <f ca="1">[1]!onepair_D($C$191)</f>
        <v>0.27731250000000002</v>
      </c>
      <c r="C195" s="242">
        <f ca="1">[1]!onepair_D2($C$191)</f>
        <v>0.33468750000000003</v>
      </c>
      <c r="D195" s="342"/>
    </row>
    <row r="196" spans="1:7" ht="16" thickBot="1" x14ac:dyDescent="0.4">
      <c r="B196" s="93">
        <f ca="1">[1]!onepair_E($C$191)</f>
        <v>0.27731250000000002</v>
      </c>
      <c r="C196" s="299">
        <f ca="1">[1]!onepair_E2($C$191)</f>
        <v>0.38489062499999999</v>
      </c>
      <c r="D196" s="339"/>
    </row>
    <row r="197" spans="1:7" ht="16" thickTop="1" x14ac:dyDescent="0.35"/>
    <row r="199" spans="1:7" x14ac:dyDescent="0.35">
      <c r="A199" s="347" t="s">
        <v>3592</v>
      </c>
    </row>
    <row r="200" spans="1:7" x14ac:dyDescent="0.35">
      <c r="A200" s="20">
        <f ca="1">RANDBETWEEN(25,50)*400</f>
        <v>17200</v>
      </c>
      <c r="B200" s="28" t="s">
        <v>3395</v>
      </c>
      <c r="E200" s="358">
        <f ca="1">IF(ABS(A200*C201-A202*C203-A204)&lt;2000,"RECALCULATE",A200*C201-A202*C203-A204)</f>
        <v>-51200</v>
      </c>
      <c r="F200" s="103" t="s">
        <v>956</v>
      </c>
      <c r="G200" s="364">
        <f ca="1">ABS(E200)/1000</f>
        <v>51.2</v>
      </c>
    </row>
    <row r="201" spans="1:7" x14ac:dyDescent="0.35">
      <c r="A201" s="355" t="str">
        <f ca="1">IF(C201&gt;0,"use","source")</f>
        <v>source</v>
      </c>
      <c r="B201" s="103" t="s">
        <v>3396</v>
      </c>
      <c r="C201" s="103">
        <f ca="1">-1^(RANDBETWEEN(1,2))</f>
        <v>-1</v>
      </c>
      <c r="E201" s="266">
        <f ca="1">IF(G200&lt;2,"RECALCULATE",G200)</f>
        <v>51.2</v>
      </c>
      <c r="F201" s="103" t="s">
        <v>956</v>
      </c>
    </row>
    <row r="202" spans="1:7" x14ac:dyDescent="0.35">
      <c r="A202" s="20">
        <f ca="1">RANDBETWEEN(25,50)*400</f>
        <v>11600</v>
      </c>
      <c r="B202" s="28" t="s">
        <v>3397</v>
      </c>
      <c r="E202" s="103" t="str">
        <f ca="1">IF(E200&lt;0,"surplus","deficit")</f>
        <v>surplus</v>
      </c>
      <c r="F202" s="103" t="s">
        <v>3398</v>
      </c>
    </row>
    <row r="203" spans="1:7" x14ac:dyDescent="0.35">
      <c r="A203" s="355" t="str">
        <f ca="1">IF(C203&lt;0,"use","source")</f>
        <v>source</v>
      </c>
      <c r="B203" s="103" t="s">
        <v>3396</v>
      </c>
      <c r="C203" s="103">
        <f ca="1">-1^(RANDBETWEEN(1,2))</f>
        <v>1</v>
      </c>
      <c r="E203" s="103" t="str">
        <f ca="1">IF(E200&gt;0,"surplus","deficit")</f>
        <v>deficit</v>
      </c>
    </row>
    <row r="204" spans="1:7" x14ac:dyDescent="0.35">
      <c r="A204" s="20">
        <f ca="1">RANDBETWEEN(25,50)*800</f>
        <v>22400</v>
      </c>
      <c r="B204" s="103" t="s">
        <v>3044</v>
      </c>
    </row>
    <row r="205" spans="1:7" ht="16" thickBot="1" x14ac:dyDescent="0.4"/>
    <row r="206" spans="1:7" ht="16.5" thickTop="1" thickBot="1" x14ac:dyDescent="0.4">
      <c r="B206" s="343" t="str">
        <f ca="1">[1]!alpha_ans($C$206)</f>
        <v>B</v>
      </c>
      <c r="C206" s="344" t="str">
        <f ca="1" xml:space="preserve"> "/\" &amp;RANDBETWEEN( 1,5) &amp; "/\" &amp;RANDBETWEEN( 1,120) &amp; "/\" &amp;RANDBETWEEN( 1,6) &amp; "/\" &amp;RANDBETWEEN( 1,2) &amp; "/\" &amp; E201 &amp; "/\" &amp; "Mask" &amp; "/\" &amp; "Mask" &amp; "/\" &amp; E202 &amp; "/\" &amp; E203</f>
        <v>/\2/\71/\2/\1/\51.2/\Mask/\Mask/\surplus/\deficit</v>
      </c>
      <c r="D206" s="345" t="s">
        <v>3399</v>
      </c>
    </row>
    <row r="207" spans="1:7" ht="16" thickTop="1" x14ac:dyDescent="0.35">
      <c r="B207" s="300">
        <f ca="1">[1]!onepair_A($C$206)</f>
        <v>67.712000000000003</v>
      </c>
      <c r="C207" s="346" t="str">
        <f ca="1">[1]!onepair_A2($C$206)</f>
        <v>deficit</v>
      </c>
      <c r="D207" s="342"/>
    </row>
    <row r="208" spans="1:7" x14ac:dyDescent="0.35">
      <c r="B208" s="300">
        <f ca="1">[1]!onepair_B($C$206)</f>
        <v>51.2</v>
      </c>
      <c r="C208" s="346" t="str">
        <f ca="1">[1]!onepair_B2($C$206)</f>
        <v>surplus</v>
      </c>
      <c r="D208" s="342"/>
    </row>
    <row r="209" spans="1:4" x14ac:dyDescent="0.35">
      <c r="B209" s="300">
        <f ca="1">[1]!onepair_C($C$206)</f>
        <v>58.88</v>
      </c>
      <c r="C209" s="346" t="str">
        <f ca="1">[1]!onepair_C2($C$206)</f>
        <v>surplus</v>
      </c>
      <c r="D209" s="342"/>
    </row>
    <row r="210" spans="1:4" x14ac:dyDescent="0.35">
      <c r="B210" s="300">
        <f ca="1">[1]!onepair_D($C$206)</f>
        <v>51.2</v>
      </c>
      <c r="C210" s="346" t="str">
        <f ca="1">[1]!onepair_D2($C$206)</f>
        <v>deficit</v>
      </c>
      <c r="D210" s="342"/>
    </row>
    <row r="211" spans="1:4" ht="16" thickBot="1" x14ac:dyDescent="0.4">
      <c r="B211" s="301">
        <f ca="1">[1]!onepair_E($C$206)</f>
        <v>67.712000000000003</v>
      </c>
      <c r="C211" s="340" t="str">
        <f ca="1">[1]!onepair_E2($C$206)</f>
        <v>surplus</v>
      </c>
      <c r="D211" s="339"/>
    </row>
    <row r="212" spans="1:4" ht="16" thickTop="1" x14ac:dyDescent="0.35"/>
    <row r="214" spans="1:4" x14ac:dyDescent="0.35">
      <c r="A214" s="347" t="s">
        <v>244</v>
      </c>
    </row>
    <row r="215" spans="1:4" x14ac:dyDescent="0.35">
      <c r="A215" s="6" t="s">
        <v>2924</v>
      </c>
      <c r="B215" s="103" t="s">
        <v>245</v>
      </c>
    </row>
    <row r="216" spans="1:4" x14ac:dyDescent="0.35">
      <c r="A216" s="6" t="s">
        <v>2925</v>
      </c>
      <c r="B216" s="103" t="s">
        <v>3752</v>
      </c>
    </row>
    <row r="217" spans="1:4" x14ac:dyDescent="0.35">
      <c r="A217" s="6" t="s">
        <v>2926</v>
      </c>
      <c r="B217" s="103" t="s">
        <v>309</v>
      </c>
    </row>
    <row r="218" spans="1:4" x14ac:dyDescent="0.35">
      <c r="A218" s="6" t="s">
        <v>2927</v>
      </c>
      <c r="B218" s="103" t="s">
        <v>1885</v>
      </c>
    </row>
    <row r="219" spans="1:4" x14ac:dyDescent="0.35">
      <c r="A219" s="6" t="s">
        <v>2928</v>
      </c>
      <c r="B219" s="103" t="s">
        <v>3587</v>
      </c>
    </row>
    <row r="220" spans="1:4" x14ac:dyDescent="0.35">
      <c r="A220" s="6" t="s">
        <v>3467</v>
      </c>
      <c r="B220" s="103" t="s">
        <v>3262</v>
      </c>
    </row>
    <row r="221" spans="1:4" ht="16" thickBot="1" x14ac:dyDescent="0.4"/>
    <row r="222" spans="1:4" ht="16.5" thickTop="1" thickBot="1" x14ac:dyDescent="0.4">
      <c r="B222" s="343" t="str">
        <f ca="1">[1]!alpha_ans($C$222)</f>
        <v>A</v>
      </c>
      <c r="C222" s="344" t="str">
        <f ca="1" xml:space="preserve"> "/\" &amp;RANDBETWEEN( 1,5) &amp; "/\" &amp;RANDBETWEEN( 1,3) &amp; "/\" &amp;RANDBETWEEN( 1,2) &amp; "/\" &amp;B215 &amp; "/\" &amp; B216 &amp; "/\" &amp; B217 &amp; "/\" &amp; B218 &amp; "/\" &amp; B219 &amp; "/\" &amp; B220</f>
        <v>/\1/\2/\1/\Raider management may perceive that the acquisition will lead to increases in profitability due to synergies associated with horizontal or vertical integration./\Raider management may perceive that the acquisition will lead to increased costs and decreased sales./\Raider management may believe that Target assets probably are underutilized./\Raider management may believe that Target assets probably are being used with maximum efficiency possible./\Raider management may be exploiting a principal-agent problem that allows them to use shareholder wealth for empire-building./\Raider management may be repairing a principal-agent problem by transferring wealth from Raider to Target shareholders.</v>
      </c>
      <c r="D222" s="345" t="s">
        <v>3588</v>
      </c>
    </row>
    <row r="223" spans="1:4" ht="16" thickTop="1" x14ac:dyDescent="0.35">
      <c r="B223" s="353" t="str">
        <f ca="1">[1]!complexV_A($C$222)</f>
        <v>Raider management may perceive that the acquisition will lead to increases in profitability due to synergies associated with horizontal or vertical integration.</v>
      </c>
      <c r="C223" s="346"/>
      <c r="D223" s="342"/>
    </row>
    <row r="224" spans="1:4" x14ac:dyDescent="0.35">
      <c r="B224" s="353" t="str">
        <f ca="1">[1]!complexV_B($C$222)</f>
        <v>Raider management may believe that Target assets probably are being used with maximum efficiency possible.</v>
      </c>
      <c r="C224" s="346"/>
      <c r="D224" s="342"/>
    </row>
    <row r="225" spans="1:11" x14ac:dyDescent="0.35">
      <c r="B225" s="353" t="str">
        <f ca="1">[1]!complexV_C($C$222)</f>
        <v>Raider management may be repairing a principal-agent problem by transferring wealth from Raider to Target shareholders.</v>
      </c>
      <c r="C225" s="346"/>
      <c r="D225" s="342"/>
    </row>
    <row r="226" spans="1:11" x14ac:dyDescent="0.35">
      <c r="B226" s="353" t="str">
        <f ca="1">[1]!complexV_D($C$222)</f>
        <v>Two choices, A and C, are correct</v>
      </c>
      <c r="C226" s="346"/>
      <c r="D226" s="342"/>
    </row>
    <row r="227" spans="1:11" ht="16" thickBot="1" x14ac:dyDescent="0.4">
      <c r="B227" s="354" t="str">
        <f ca="1">[1]!complexV_E($C$222)</f>
        <v>The three A-B-C choices are all correct</v>
      </c>
      <c r="C227" s="340"/>
      <c r="D227" s="339"/>
    </row>
    <row r="228" spans="1:11" ht="16" thickTop="1" x14ac:dyDescent="0.35"/>
    <row r="230" spans="1:11" x14ac:dyDescent="0.35">
      <c r="A230" s="88" t="s">
        <v>3851</v>
      </c>
      <c r="B230" s="2"/>
      <c r="C230" s="2"/>
      <c r="D230" s="2"/>
      <c r="E230" s="2"/>
      <c r="F230" s="2"/>
      <c r="G230" s="2"/>
    </row>
    <row r="231" spans="1:11" x14ac:dyDescent="0.35">
      <c r="A231" s="398"/>
      <c r="B231" s="404">
        <f ca="1">RANDBETWEEN(451,1800)/10000</f>
        <v>0.16250000000000001</v>
      </c>
      <c r="C231" s="391" t="s">
        <v>3855</v>
      </c>
      <c r="D231" s="391"/>
      <c r="E231" s="391"/>
      <c r="F231" s="391"/>
      <c r="G231" s="391"/>
      <c r="H231" s="392"/>
    </row>
    <row r="232" spans="1:11" ht="16" thickBot="1" x14ac:dyDescent="0.4">
      <c r="A232" s="393"/>
      <c r="B232" s="404">
        <f ca="1">vMask20*B231</f>
        <v>0.203125</v>
      </c>
      <c r="C232" s="394" t="s">
        <v>3854</v>
      </c>
      <c r="D232" s="394"/>
      <c r="E232" s="391"/>
      <c r="F232" s="391"/>
      <c r="G232" s="391"/>
      <c r="H232" s="395"/>
      <c r="I232" s="390"/>
      <c r="J232" s="390"/>
      <c r="K232" s="389"/>
    </row>
    <row r="233" spans="1:11" ht="16.5" thickTop="1" thickBot="1" x14ac:dyDescent="0.4">
      <c r="A233" s="394"/>
      <c r="B233" s="401" t="str">
        <f ca="1">[1]!stdtf_ans($C$233)</f>
        <v>B</v>
      </c>
      <c r="C233" s="402" t="str">
        <f ca="1" xml:space="preserve"> "/\" &amp; RANDBETWEEN(1,2) &amp; "/\" &amp; B231 &amp; "/\" &amp; B232</f>
        <v>/\2/\0.1625/\0.203125</v>
      </c>
      <c r="D233" s="403" t="s">
        <v>3852</v>
      </c>
      <c r="E233" s="391"/>
      <c r="F233" s="391"/>
      <c r="G233" s="391"/>
      <c r="H233" s="397"/>
      <c r="I233" s="346"/>
      <c r="J233" s="389"/>
      <c r="K233" s="389"/>
    </row>
    <row r="234" spans="1:11" ht="16" thickTop="1" x14ac:dyDescent="0.35">
      <c r="A234" s="394"/>
      <c r="B234" s="108">
        <f ca="1">ROUND([1]!stdtf_q($C$233),4)</f>
        <v>0.2031</v>
      </c>
      <c r="C234" s="82"/>
      <c r="D234" s="399">
        <f ca="1">(-1)^RANDBETWEEN(1,2)</f>
        <v>-1</v>
      </c>
      <c r="E234" s="391"/>
      <c r="F234" s="391"/>
      <c r="G234" s="405"/>
      <c r="H234" s="397"/>
      <c r="I234" s="346"/>
      <c r="J234" s="389"/>
      <c r="K234" s="389"/>
    </row>
    <row r="235" spans="1:11" ht="16" thickBot="1" x14ac:dyDescent="0.4">
      <c r="A235" s="394"/>
      <c r="B235" s="201"/>
      <c r="C235" s="84"/>
      <c r="D235" s="400">
        <f ca="1">(-1)+RANDBETWEEN(1,2)</f>
        <v>0</v>
      </c>
      <c r="E235" s="391"/>
      <c r="F235" s="391"/>
      <c r="G235" s="391"/>
      <c r="H235" s="397"/>
      <c r="I235" s="346"/>
      <c r="J235" s="389"/>
      <c r="K235" s="389"/>
    </row>
    <row r="236" spans="1:11" ht="16.5" thickTop="1" thickBot="1" x14ac:dyDescent="0.4">
      <c r="A236" s="394"/>
      <c r="B236" s="396"/>
      <c r="C236" s="394"/>
      <c r="D236" s="391"/>
      <c r="E236" s="391"/>
      <c r="F236" s="391"/>
      <c r="G236" s="391"/>
      <c r="H236" s="397"/>
      <c r="I236" s="346"/>
      <c r="J236" s="389"/>
      <c r="K236" s="389"/>
    </row>
    <row r="237" spans="1:11" ht="16.5" thickTop="1" thickBot="1" x14ac:dyDescent="0.4">
      <c r="A237" s="394"/>
      <c r="B237" s="401" t="str">
        <f ca="1">[1]!stdtf_ans($C$237)</f>
        <v>A</v>
      </c>
      <c r="C237" s="402" t="str">
        <f ca="1" xml:space="preserve"> "/\" &amp; RANDBETWEEN(1,2) &amp; "/\" &amp; B231 &amp; "/\" &amp; A232</f>
        <v>/\1/\0.1625/\</v>
      </c>
      <c r="D237" s="403" t="s">
        <v>3853</v>
      </c>
      <c r="E237" s="391"/>
      <c r="F237" s="391"/>
      <c r="G237" s="391"/>
      <c r="H237" s="397"/>
      <c r="I237" s="346"/>
      <c r="J237" s="389"/>
      <c r="K237" s="389"/>
    </row>
    <row r="238" spans="1:11" ht="16" thickTop="1" x14ac:dyDescent="0.35">
      <c r="A238" s="2"/>
      <c r="B238" s="81" t="str">
        <f ca="1">[1]!stdtf_q($C$237)</f>
        <v>0.1625</v>
      </c>
      <c r="C238" s="82"/>
      <c r="D238" s="77">
        <f ca="1">(-1)^RANDBETWEEN(1,2)</f>
        <v>-1</v>
      </c>
      <c r="E238" s="2"/>
      <c r="F238" s="2"/>
      <c r="G238" s="2"/>
    </row>
    <row r="239" spans="1:11" ht="16" thickBot="1" x14ac:dyDescent="0.4">
      <c r="A239" s="2"/>
      <c r="B239" s="83"/>
      <c r="C239" s="84"/>
      <c r="D239" s="78">
        <f ca="1">(-1)+RANDBETWEEN(1,2)</f>
        <v>0</v>
      </c>
      <c r="E239" s="2"/>
      <c r="F239" s="2"/>
      <c r="G239" s="2"/>
    </row>
    <row r="240" spans="1:11" ht="16" thickTop="1" x14ac:dyDescent="0.35">
      <c r="A240" s="2"/>
      <c r="B240" s="2"/>
      <c r="C240" s="2"/>
      <c r="D240" s="2"/>
      <c r="E240" s="2"/>
      <c r="F240" s="2"/>
      <c r="G240" s="2"/>
    </row>
    <row r="241" spans="1:7" x14ac:dyDescent="0.35">
      <c r="A241" s="2"/>
      <c r="B241" s="2"/>
      <c r="C241" s="2"/>
      <c r="D241" s="2"/>
      <c r="E241" s="2"/>
      <c r="F241" s="2"/>
      <c r="G241" s="2"/>
    </row>
    <row r="242" spans="1:7" x14ac:dyDescent="0.35">
      <c r="A242" s="2"/>
      <c r="B242" s="2"/>
      <c r="C242" s="2"/>
      <c r="D242" s="2"/>
      <c r="E242" s="2"/>
      <c r="F242" s="2"/>
      <c r="G242" s="2"/>
    </row>
    <row r="243" spans="1:7" x14ac:dyDescent="0.35">
      <c r="A243" s="2"/>
      <c r="B243" s="2"/>
      <c r="C243" s="2"/>
      <c r="D243" s="2"/>
      <c r="E243" s="2"/>
      <c r="F243" s="2"/>
      <c r="G243" s="2"/>
    </row>
    <row r="245" spans="1:7" x14ac:dyDescent="0.35">
      <c r="A245" s="347" t="s">
        <v>2410</v>
      </c>
    </row>
    <row r="246" spans="1:7" x14ac:dyDescent="0.35">
      <c r="A246" s="14">
        <f ca="1">RANDBETWEEN(50,110)/1000</f>
        <v>5.5E-2</v>
      </c>
      <c r="B246" s="28" t="s">
        <v>2411</v>
      </c>
      <c r="E246" s="8">
        <f ca="1">A249*(1+A246)^(A247+A248)</f>
        <v>4023.1289277950727</v>
      </c>
      <c r="F246" s="103" t="s">
        <v>2644</v>
      </c>
    </row>
    <row r="247" spans="1:7" x14ac:dyDescent="0.35">
      <c r="A247" s="103">
        <f ca="1">RANDBETWEEN(15,20)</f>
        <v>15</v>
      </c>
      <c r="B247" s="103" t="s">
        <v>2412</v>
      </c>
      <c r="E247" s="358">
        <f ca="1">E246-A249</f>
        <v>3023.1289277950727</v>
      </c>
      <c r="F247" s="103" t="s">
        <v>1305</v>
      </c>
    </row>
    <row r="248" spans="1:7" x14ac:dyDescent="0.35">
      <c r="A248" s="103">
        <f ca="1">RANDBETWEEN(8,15)</f>
        <v>11</v>
      </c>
      <c r="B248" s="103" t="s">
        <v>2413</v>
      </c>
      <c r="E248" s="8">
        <f ca="1">A249*A246*(A247+A248)</f>
        <v>1430</v>
      </c>
      <c r="F248" s="103" t="s">
        <v>2645</v>
      </c>
    </row>
    <row r="249" spans="1:7" x14ac:dyDescent="0.35">
      <c r="A249" s="8">
        <f ca="1">RANDBETWEEN(1,5)*1000</f>
        <v>1000</v>
      </c>
      <c r="B249" s="103" t="s">
        <v>2643</v>
      </c>
      <c r="E249" s="358">
        <f ca="1">E247-E248</f>
        <v>1593.1289277950727</v>
      </c>
      <c r="F249" s="103" t="s">
        <v>2646</v>
      </c>
    </row>
    <row r="251" spans="1:7" ht="16" thickBot="1" x14ac:dyDescent="0.4"/>
    <row r="252" spans="1:7" ht="16.5" thickTop="1" thickBot="1" x14ac:dyDescent="0.4">
      <c r="B252" s="343" t="str">
        <f ca="1">[1]!alpha_ans($C$252)</f>
        <v>D</v>
      </c>
      <c r="C252" s="344" t="str">
        <f ca="1" xml:space="preserve"> "/\" &amp;RANDBETWEEN( 1,5) &amp; "/\" &amp;RANDBETWEEN( 1,120) &amp; "/\" &amp;RANDBETWEEN( 1,6) &amp; "/\" &amp;RANDBETWEEN( 1,2) &amp; "/\" &amp; E249 &amp; "/\" &amp; "Mask" &amp; "/\" &amp; "Mask" &amp; "/\" &amp; E248 &amp; "/\" &amp; "Mask"</f>
        <v>/\4/\44/\5/\2/\1593.12892779507/\Mask/\Mask/\1430/\Mask</v>
      </c>
      <c r="D252" s="345" t="s">
        <v>790</v>
      </c>
    </row>
    <row r="253" spans="1:7" ht="16" thickTop="1" x14ac:dyDescent="0.35">
      <c r="B253" s="101">
        <f ca="1">[1]!onepair_A($C$252)</f>
        <v>1204.63434993956</v>
      </c>
      <c r="C253" s="142">
        <f ca="1">[1]!onepair_A2($C$252)</f>
        <v>1430</v>
      </c>
      <c r="D253" s="342"/>
    </row>
    <row r="254" spans="1:7" x14ac:dyDescent="0.35">
      <c r="B254" s="101">
        <f ca="1">[1]!onepair_B($C$252)</f>
        <v>1385.3295024305</v>
      </c>
      <c r="C254" s="142">
        <f ca="1">[1]!onepair_B2($C$252)</f>
        <v>1644.5</v>
      </c>
      <c r="D254" s="342"/>
    </row>
    <row r="255" spans="1:7" x14ac:dyDescent="0.35">
      <c r="B255" s="101">
        <f ca="1">[1]!onepair_C($C$252)</f>
        <v>1593.12892779507</v>
      </c>
      <c r="C255" s="142">
        <f ca="1">[1]!onepair_C2($C$252)</f>
        <v>1644.5</v>
      </c>
      <c r="D255" s="342"/>
    </row>
    <row r="256" spans="1:7" x14ac:dyDescent="0.35">
      <c r="B256" s="101">
        <f ca="1">[1]!onepair_D($C$252)</f>
        <v>1593.12892779507</v>
      </c>
      <c r="C256" s="142">
        <f ca="1">[1]!onepair_D2($C$252)</f>
        <v>1430</v>
      </c>
      <c r="D256" s="342"/>
    </row>
    <row r="257" spans="1:4" ht="16" thickBot="1" x14ac:dyDescent="0.4">
      <c r="B257" s="102">
        <f ca="1">[1]!onepair_E($C$252)</f>
        <v>1204.63434993956</v>
      </c>
      <c r="C257" s="320">
        <f ca="1">[1]!onepair_E2($C$252)</f>
        <v>1644.5</v>
      </c>
      <c r="D257" s="339"/>
    </row>
    <row r="258" spans="1:4" ht="16" thickTop="1" x14ac:dyDescent="0.35"/>
    <row r="260" spans="1:4" x14ac:dyDescent="0.35">
      <c r="A260" s="347" t="s">
        <v>253</v>
      </c>
    </row>
    <row r="261" spans="1:4" x14ac:dyDescent="0.35">
      <c r="A261" s="8">
        <f ca="1">RANDBETWEEN(1,5)*1000</f>
        <v>1000</v>
      </c>
      <c r="B261" s="103" t="s">
        <v>1107</v>
      </c>
      <c r="C261" s="358">
        <f ca="1">-A261</f>
        <v>-1000</v>
      </c>
    </row>
    <row r="262" spans="1:4" x14ac:dyDescent="0.35">
      <c r="A262" s="358">
        <f ca="1">2*ROUND(ABS((1+RANDBETWEEN(16,25)/100)^(IF(RANDBETWEEN(0,1)=0,1,-1))-1)*A261,0)</f>
        <v>360</v>
      </c>
      <c r="B262" s="103" t="s">
        <v>2108</v>
      </c>
      <c r="C262" s="358">
        <f ca="1">A262</f>
        <v>360</v>
      </c>
    </row>
    <row r="263" spans="1:4" x14ac:dyDescent="0.35">
      <c r="A263" s="358">
        <f ca="1">2*ROUND(ABS((1+RANDBETWEEN(36,45)/100)^(IF(RANDBETWEEN(0,1)=0,1,-1))-1)*A261,0)</f>
        <v>550</v>
      </c>
      <c r="B263" s="103" t="s">
        <v>2109</v>
      </c>
      <c r="C263" s="358">
        <f ca="1">A263</f>
        <v>550</v>
      </c>
    </row>
    <row r="264" spans="1:4" x14ac:dyDescent="0.35">
      <c r="A264" s="358">
        <f ca="1">2*ROUND(ABS((1+RANDBETWEEN(8,13)/100)^(IF(RANDBETWEEN(0,1)=0,1,-1))-1)*A261,0)</f>
        <v>230</v>
      </c>
      <c r="B264" s="103" t="s">
        <v>254</v>
      </c>
      <c r="C264" s="358">
        <f ca="1">A264+A265</f>
        <v>890</v>
      </c>
    </row>
    <row r="265" spans="1:4" x14ac:dyDescent="0.35">
      <c r="A265" s="358">
        <f ca="1">2*ROUND(ABS((1+RANDBETWEEN(26,35)/100)^(IF(RANDBETWEEN(0,1)=0,1,-1))-1)*A261,0)</f>
        <v>660</v>
      </c>
      <c r="B265" s="103" t="s">
        <v>255</v>
      </c>
      <c r="C265" s="361">
        <f ca="1">IRR(C261:C264)</f>
        <v>0.30455536984473319</v>
      </c>
      <c r="D265" s="103" t="s">
        <v>256</v>
      </c>
    </row>
    <row r="266" spans="1:4" ht="16" thickBot="1" x14ac:dyDescent="0.4"/>
    <row r="267" spans="1:4" ht="16.5" thickTop="1" thickBot="1" x14ac:dyDescent="0.4">
      <c r="B267" s="343" t="str">
        <f ca="1">[1]!std_ans($C$267)</f>
        <v>E</v>
      </c>
      <c r="C267" s="344" t="str">
        <f ca="1" xml:space="preserve"> "/\" &amp;RANDBETWEEN( 1,120) &amp; "/\" &amp;RANDBETWEEN( 1,120) &amp; "/\" &amp;0.1 &amp; "/\" &amp; C265</f>
        <v>/\84/\35/\0.1/\0.304555369844733</v>
      </c>
      <c r="D267" s="345" t="s">
        <v>257</v>
      </c>
    </row>
    <row r="268" spans="1:4" ht="16" thickTop="1" x14ac:dyDescent="0.35">
      <c r="B268" s="92">
        <f ca="1">[1]!stdnum_A($C$267)</f>
        <v>0.27686851804066637</v>
      </c>
      <c r="C268" s="346"/>
      <c r="D268" s="342"/>
    </row>
    <row r="269" spans="1:4" x14ac:dyDescent="0.35">
      <c r="B269" s="92">
        <f ca="1">[1]!stdnum_B($C$267)</f>
        <v>0.33501090682920637</v>
      </c>
      <c r="C269" s="346"/>
      <c r="D269" s="342"/>
    </row>
    <row r="270" spans="1:4" x14ac:dyDescent="0.35">
      <c r="B270" s="92">
        <f ca="1">[1]!stdnum_C($C$267)</f>
        <v>0.36851199751212704</v>
      </c>
      <c r="C270" s="346"/>
      <c r="D270" s="342"/>
    </row>
    <row r="271" spans="1:4" x14ac:dyDescent="0.35">
      <c r="B271" s="92">
        <f ca="1">[1]!stdnum_D($C$267)</f>
        <v>0.4053631972633398</v>
      </c>
      <c r="C271" s="346"/>
      <c r="D271" s="342"/>
    </row>
    <row r="272" spans="1:4" ht="16" thickBot="1" x14ac:dyDescent="0.4">
      <c r="B272" s="93">
        <f ca="1">[1]!stdnum_E($C$267)</f>
        <v>0.30455536984473303</v>
      </c>
      <c r="C272" s="340"/>
      <c r="D272" s="339"/>
    </row>
    <row r="273" spans="1:5" ht="16" thickTop="1" x14ac:dyDescent="0.35"/>
    <row r="275" spans="1:5" x14ac:dyDescent="0.35">
      <c r="A275" s="347" t="s">
        <v>2883</v>
      </c>
    </row>
    <row r="276" spans="1:5" x14ac:dyDescent="0.35">
      <c r="A276" s="8">
        <f ca="1">RANDBETWEEN(1,5)*1250</f>
        <v>1250</v>
      </c>
      <c r="B276" s="103" t="s">
        <v>2884</v>
      </c>
    </row>
    <row r="277" spans="1:5" x14ac:dyDescent="0.35">
      <c r="A277" s="32">
        <f ca="1">RANDBETWEEN(5,8)*5/100</f>
        <v>0.4</v>
      </c>
      <c r="B277" s="103" t="s">
        <v>3725</v>
      </c>
      <c r="D277" s="362">
        <f ca="1">IF(ABS(A277*A280+A278*A281+A279*A282)&lt;0.02,"#RECALCULATE",A277*A280+A278*A281+A279*A282)</f>
        <v>-0.10799999999999998</v>
      </c>
      <c r="E277" s="103" t="s">
        <v>1346</v>
      </c>
    </row>
    <row r="278" spans="1:5" x14ac:dyDescent="0.35">
      <c r="A278" s="32">
        <f ca="1">RANDBETWEEN(5,8)*5/100</f>
        <v>0.25</v>
      </c>
      <c r="B278" s="103" t="s">
        <v>3726</v>
      </c>
    </row>
    <row r="279" spans="1:5" x14ac:dyDescent="0.35">
      <c r="A279" s="32">
        <f ca="1">1-A277-A278</f>
        <v>0.35</v>
      </c>
      <c r="B279" s="103" t="s">
        <v>3727</v>
      </c>
    </row>
    <row r="280" spans="1:5" x14ac:dyDescent="0.35">
      <c r="A280" s="32">
        <f ca="1">(IF(RANDBETWEEN(0,1)=0,1,-1))*RANDBETWEEN(3,8)*4/100</f>
        <v>-0.16</v>
      </c>
      <c r="B280" s="103" t="s">
        <v>1343</v>
      </c>
    </row>
    <row r="281" spans="1:5" x14ac:dyDescent="0.35">
      <c r="A281" s="32">
        <f ca="1">(IF(RANDBETWEEN(0,1)=0,1,-1))*RANDBETWEEN(3,8)*4/100</f>
        <v>0.16</v>
      </c>
      <c r="B281" s="103" t="s">
        <v>1344</v>
      </c>
    </row>
    <row r="282" spans="1:5" x14ac:dyDescent="0.35">
      <c r="A282" s="32">
        <f ca="1">(IF(RANDBETWEEN(0,1)=0,1,-1))*RANDBETWEEN(3,8)*4/100</f>
        <v>-0.24</v>
      </c>
      <c r="B282" s="103" t="s">
        <v>1345</v>
      </c>
    </row>
    <row r="283" spans="1:5" ht="16" thickBot="1" x14ac:dyDescent="0.4"/>
    <row r="284" spans="1:5" ht="16.5" thickTop="1" thickBot="1" x14ac:dyDescent="0.4">
      <c r="B284" s="343" t="str">
        <f ca="1">[1]!std_ans($C$284)</f>
        <v>C</v>
      </c>
      <c r="C284" s="344" t="str">
        <f ca="1" xml:space="preserve"> "/\" &amp;RANDBETWEEN( 1,120) &amp; "/\" &amp;RANDBETWEEN( 1,120) &amp; "/\" &amp;0.1 &amp; "/\" &amp; D277</f>
        <v>/\68/\97/\0.1/\-0.108</v>
      </c>
      <c r="D284" s="345" t="s">
        <v>2539</v>
      </c>
    </row>
    <row r="285" spans="1:5" ht="16" thickTop="1" x14ac:dyDescent="0.35">
      <c r="B285" s="92">
        <f ca="1">[1]!stdnum_A($C$284)</f>
        <v>-8.1141998497370374E-2</v>
      </c>
      <c r="C285" s="346"/>
      <c r="D285" s="342"/>
    </row>
    <row r="286" spans="1:5" x14ac:dyDescent="0.35">
      <c r="B286" s="92">
        <f ca="1">[1]!stdnum_B($C$284)</f>
        <v>-9.8181818181818176E-2</v>
      </c>
      <c r="C286" s="346"/>
      <c r="D286" s="342"/>
    </row>
    <row r="287" spans="1:5" x14ac:dyDescent="0.35">
      <c r="B287" s="92">
        <f ca="1">[1]!stdnum_C($C$284)</f>
        <v>-0.108</v>
      </c>
      <c r="C287" s="346"/>
      <c r="D287" s="342"/>
    </row>
    <row r="288" spans="1:5" x14ac:dyDescent="0.35">
      <c r="B288" s="92">
        <f ca="1">[1]!stdnum_D($C$284)</f>
        <v>-8.9256198347107421E-2</v>
      </c>
      <c r="C288" s="346"/>
      <c r="D288" s="342"/>
    </row>
    <row r="289" spans="1:9" ht="16" thickBot="1" x14ac:dyDescent="0.4">
      <c r="B289" s="93">
        <f ca="1">[1]!stdnum_E($C$284)</f>
        <v>-7.376545317942762E-2</v>
      </c>
      <c r="C289" s="340"/>
      <c r="D289" s="339"/>
    </row>
    <row r="290" spans="1:9" ht="16" thickTop="1" x14ac:dyDescent="0.35"/>
    <row r="292" spans="1:9" x14ac:dyDescent="0.35">
      <c r="A292" s="347" t="s">
        <v>3544</v>
      </c>
    </row>
    <row r="293" spans="1:9" x14ac:dyDescent="0.35">
      <c r="A293" s="151">
        <f ca="1">RANDBETWEEN(30,90)/1000</f>
        <v>3.7999999999999999E-2</v>
      </c>
      <c r="B293" s="2" t="s">
        <v>2293</v>
      </c>
      <c r="C293" s="2"/>
      <c r="D293" s="152">
        <f ca="1">A293*1000/2</f>
        <v>19</v>
      </c>
      <c r="E293" s="2" t="s">
        <v>3545</v>
      </c>
      <c r="G293" s="363">
        <f ca="1">-PV(D295/2,D294-1,D293,1000)</f>
        <v>853.18236077423194</v>
      </c>
      <c r="H293" s="103" t="s">
        <v>3547</v>
      </c>
    </row>
    <row r="294" spans="1:9" x14ac:dyDescent="0.35">
      <c r="A294" s="153">
        <f ca="1">RANDBETWEEN(2,3)*5</f>
        <v>10</v>
      </c>
      <c r="B294" s="2" t="s">
        <v>3302</v>
      </c>
      <c r="C294" s="2"/>
      <c r="D294" s="2">
        <f ca="1">2*A294</f>
        <v>20</v>
      </c>
      <c r="E294" s="2" t="s">
        <v>3546</v>
      </c>
      <c r="G294" s="363">
        <f ca="1">G293-A295</f>
        <v>5.7247336555877837</v>
      </c>
      <c r="H294" s="103" t="s">
        <v>2444</v>
      </c>
    </row>
    <row r="295" spans="1:9" x14ac:dyDescent="0.35">
      <c r="A295" s="154">
        <f ca="1">1000*(1+RANDBETWEEN(16,25)/100)^(IF(RANDBETWEEN(0,1)=0,1,-1))</f>
        <v>847.45762711864415</v>
      </c>
      <c r="B295" s="2" t="s">
        <v>2292</v>
      </c>
      <c r="C295" s="2"/>
      <c r="D295" s="29">
        <f ca="1">2*[1]!irrmixed(A295,D293,D294-1,1000+D293,1)</f>
        <v>5.8350437294271709E-2</v>
      </c>
      <c r="E295" s="2" t="s">
        <v>1846</v>
      </c>
      <c r="G295" s="363">
        <f ca="1">ABS(G294)</f>
        <v>5.7247336555877837</v>
      </c>
      <c r="H295" s="103" t="str">
        <f ca="1">IF(G294&gt;0,"capital gain","capital loss")</f>
        <v>capital gain</v>
      </c>
      <c r="I295" s="103" t="str">
        <f ca="1">IF(G294&lt;0,"capital gain","capital loss")</f>
        <v>capital loss</v>
      </c>
    </row>
    <row r="296" spans="1:9" ht="16" thickBot="1" x14ac:dyDescent="0.4"/>
    <row r="297" spans="1:9" ht="16.5" thickTop="1" thickBot="1" x14ac:dyDescent="0.4">
      <c r="B297" s="343" t="str">
        <f ca="1">[1]!alpha_ans($C$297)</f>
        <v>A</v>
      </c>
      <c r="C297" s="344" t="str">
        <f ca="1" xml:space="preserve"> "/\" &amp;RANDBETWEEN( 1,5) &amp; "/\" &amp;RANDBETWEEN( 1,120) &amp; "/\" &amp;RANDBETWEEN( 1,6) &amp; "/\" &amp;RANDBETWEEN( 1,2) &amp; "/\" &amp; G295 &amp; "/\" &amp; "Mask" &amp; "/\" &amp; "Mask" &amp; "/\" &amp; H295 &amp; "/\" &amp; I295</f>
        <v>/\1/\35/\1/\1/\5.72473365558778/\Mask/\Mask/\capital gain/\capital loss</v>
      </c>
      <c r="D297" s="345" t="s">
        <v>3548</v>
      </c>
    </row>
    <row r="298" spans="1:9" ht="16" thickTop="1" x14ac:dyDescent="0.35">
      <c r="B298" s="96">
        <f ca="1">[1]!onepair_A($C$297)</f>
        <v>5.7247336555877801</v>
      </c>
      <c r="C298" s="346" t="str">
        <f ca="1">[1]!onepair_A2($C$297)</f>
        <v>capital gain</v>
      </c>
      <c r="D298" s="342"/>
    </row>
    <row r="299" spans="1:9" x14ac:dyDescent="0.35">
      <c r="B299" s="96">
        <f ca="1">[1]!onepair_B($C$297)</f>
        <v>6.5834437039259504</v>
      </c>
      <c r="C299" s="346" t="str">
        <f ca="1">[1]!onepair_B2($C$297)</f>
        <v>capital loss</v>
      </c>
      <c r="D299" s="342"/>
    </row>
    <row r="300" spans="1:9" x14ac:dyDescent="0.35">
      <c r="B300" s="96">
        <f ca="1">[1]!onepair_C($C$297)</f>
        <v>7.5709602595148402</v>
      </c>
      <c r="C300" s="346" t="str">
        <f ca="1">[1]!onepair_C2($C$297)</f>
        <v>capital loss</v>
      </c>
      <c r="D300" s="342"/>
    </row>
    <row r="301" spans="1:9" x14ac:dyDescent="0.35">
      <c r="B301" s="96">
        <f ca="1">[1]!onepair_D($C$297)</f>
        <v>5.7247336555877801</v>
      </c>
      <c r="C301" s="346" t="str">
        <f ca="1">[1]!onepair_D2($C$297)</f>
        <v>capital loss</v>
      </c>
      <c r="D301" s="342"/>
    </row>
    <row r="302" spans="1:9" ht="16" thickBot="1" x14ac:dyDescent="0.4">
      <c r="B302" s="97">
        <f ca="1">[1]!onepair_E($C$297)</f>
        <v>7.5709602595148402</v>
      </c>
      <c r="C302" s="340" t="str">
        <f ca="1">[1]!onepair_E2($C$297)</f>
        <v>capital gain</v>
      </c>
      <c r="D302" s="339"/>
    </row>
    <row r="303" spans="1:9" ht="16" thickTop="1" x14ac:dyDescent="0.35"/>
  </sheetData>
  <mergeCells count="2">
    <mergeCell ref="A113:B113"/>
    <mergeCell ref="A1:C2"/>
  </mergeCells>
  <phoneticPr fontId="12" type="noConversion"/>
  <hyperlinks>
    <hyperlink ref="A1:B2" r:id="rId1" tooltip="Open the Algogen help document" display="Click here to read AlgorithmicDocumentGenerator instructions" xr:uid="{00000000-0004-0000-0100-000000000000}"/>
  </hyperlinks>
  <pageMargins left="0.75" right="0.75" top="1" bottom="1" header="0.5" footer="0.5"/>
  <pageSetup orientation="portrait" horizontalDpi="96" verticalDpi="96"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L1853"/>
  <sheetViews>
    <sheetView zoomScale="150" workbookViewId="0"/>
  </sheetViews>
  <sheetFormatPr defaultColWidth="10.58203125" defaultRowHeight="15.5" x14ac:dyDescent="0.35"/>
  <cols>
    <col min="1" max="16384" width="10.58203125" style="2"/>
  </cols>
  <sheetData>
    <row r="1" spans="1:9" x14ac:dyDescent="0.35">
      <c r="C1" s="17"/>
      <c r="D1" s="17"/>
      <c r="E1" s="17"/>
      <c r="F1" s="17"/>
      <c r="G1" s="17"/>
      <c r="H1" s="17"/>
      <c r="I1" s="17"/>
    </row>
    <row r="2" spans="1:9" x14ac:dyDescent="0.35">
      <c r="C2" s="17"/>
      <c r="D2" s="17"/>
      <c r="E2" s="17"/>
      <c r="F2" s="133"/>
      <c r="G2" s="123"/>
      <c r="H2" s="123"/>
      <c r="I2" s="17"/>
    </row>
    <row r="3" spans="1:9" x14ac:dyDescent="0.35">
      <c r="C3" s="17"/>
      <c r="D3" s="17"/>
      <c r="E3" s="17"/>
      <c r="F3" s="82"/>
      <c r="G3" s="82"/>
      <c r="H3" s="17"/>
      <c r="I3" s="17"/>
    </row>
    <row r="4" spans="1:9" x14ac:dyDescent="0.35">
      <c r="C4" s="17"/>
      <c r="D4" s="17"/>
      <c r="E4" s="17"/>
      <c r="F4" s="82"/>
      <c r="G4" s="82"/>
      <c r="H4" s="17"/>
      <c r="I4" s="17"/>
    </row>
    <row r="5" spans="1:9" x14ac:dyDescent="0.35">
      <c r="C5" s="17"/>
      <c r="D5" s="17"/>
      <c r="E5" s="17"/>
      <c r="F5" s="82"/>
      <c r="G5" s="82"/>
      <c r="H5" s="17"/>
      <c r="I5" s="17"/>
    </row>
    <row r="6" spans="1:9" x14ac:dyDescent="0.35">
      <c r="C6" s="17"/>
      <c r="D6" s="17"/>
      <c r="E6" s="17"/>
      <c r="F6" s="82"/>
      <c r="G6" s="82"/>
      <c r="H6" s="17"/>
      <c r="I6" s="17"/>
    </row>
    <row r="7" spans="1:9" x14ac:dyDescent="0.35">
      <c r="C7" s="17"/>
      <c r="D7" s="17"/>
      <c r="E7" s="17"/>
      <c r="F7" s="82"/>
      <c r="G7" s="82"/>
      <c r="H7" s="17"/>
      <c r="I7" s="17"/>
    </row>
    <row r="8" spans="1:9" x14ac:dyDescent="0.35">
      <c r="C8" s="17"/>
      <c r="D8" s="17"/>
      <c r="E8" s="17"/>
      <c r="F8" s="17"/>
      <c r="G8" s="17"/>
      <c r="H8" s="17"/>
      <c r="I8" s="17"/>
    </row>
    <row r="9" spans="1:9" x14ac:dyDescent="0.35">
      <c r="C9" s="17"/>
      <c r="D9" s="17"/>
      <c r="E9" s="17"/>
      <c r="F9" s="17"/>
      <c r="G9" s="17"/>
      <c r="H9" s="17"/>
      <c r="I9" s="17"/>
    </row>
    <row r="10" spans="1:9" ht="16" thickBot="1" x14ac:dyDescent="0.4">
      <c r="A10" s="88" t="s">
        <v>2321</v>
      </c>
    </row>
    <row r="11" spans="1:9" ht="16.5" thickTop="1" thickBot="1" x14ac:dyDescent="0.4">
      <c r="B11" s="76" t="str">
        <f ca="1">[1]!alpha_ans($C$11)</f>
        <v>A</v>
      </c>
      <c r="C11" s="79" t="str">
        <f ca="1" xml:space="preserve"> "/\" &amp;RANDBETWEEN( 1,5) &amp; "/\" &amp;RANDBETWEEN( 1,3) &amp; "/\" &amp;RANDBETWEEN( 1,2) &amp; "/\" &amp;D18 &amp; "/\" &amp; "the present value interest factor for an annuity, PVIFA(r,N), equals the total accumulation in an account earning the periodic rate r that results from a series of N one-dollar deposits" &amp; "/\" &amp; D19 &amp; "/\" &amp; "the future value interest factor for an annuity, FVIFA(r,N), equals the initial deposit into an account earning the periodic rate r that perfectly finances a series of N one-dollar withdrawals" &amp; "/\" &amp; D20 &amp; "/\" &amp; "the discount rate is the periodic percentage return added to the future cash flow for computing present value"</f>
        <v>/\1/\1/\1/\the present value interest factor for an annuity, PVIFA(r,N), equals the initial deposit into an account earning the periodic rate r that perfectly finances a series of N one-dollar withdrawals/\the present value interest factor for an annuity, PVIFA(r,N), equals the total accumulation in an account earning the periodic rate r that results from a series of N one-dollar deposits/\the future value interest factor for an annuity, FVIFA(r,N), equals the total accumulation in an account earning the periodic rate r that results from a series of N one-dollar deposits/\the future value interest factor for an annuity, FVIFA(r,N), equals the initial deposit into an account earning the periodic rate r that perfectly finances a series of N one-dollar withdrawals/\the discount rate is the periodic percentage return subtracted from the future cash flow for computing present value/\the discount rate is the periodic percentage return added to the future cash flow for computing present value</v>
      </c>
      <c r="D11" s="80" t="s">
        <v>3844</v>
      </c>
    </row>
    <row r="12" spans="1:9" ht="16" thickTop="1" x14ac:dyDescent="0.35">
      <c r="B12" s="81" t="str">
        <f ca="1">[1]!complexV_A($C$11)</f>
        <v>the present value interest factor for an annuity, PVIFA(r,N), equals the initial deposit into an account earning the periodic rate r that perfectly finances a series of N one-dollar withdrawals</v>
      </c>
      <c r="C12" s="82"/>
      <c r="D12" s="77"/>
    </row>
    <row r="13" spans="1:9" x14ac:dyDescent="0.35">
      <c r="B13" s="81" t="str">
        <f ca="1">[1]!complexV_B($C$11)</f>
        <v>the future value interest factor for an annuity, FVIFA(r,N), equals the initial deposit into an account earning the periodic rate r that perfectly finances a series of N one-dollar withdrawals</v>
      </c>
      <c r="C13" s="82"/>
      <c r="D13" s="77"/>
    </row>
    <row r="14" spans="1:9" x14ac:dyDescent="0.35">
      <c r="B14" s="81" t="str">
        <f ca="1">[1]!complexV_C($C$11)</f>
        <v>the discount rate is the periodic percentage return added to the future cash flow for computing present value</v>
      </c>
      <c r="C14" s="82"/>
      <c r="D14" s="77"/>
    </row>
    <row r="15" spans="1:9" x14ac:dyDescent="0.35">
      <c r="B15" s="81" t="str">
        <f ca="1">[1]!complexV_D($C$11)</f>
        <v>Two choices, A and B, are correct</v>
      </c>
      <c r="C15" s="82"/>
      <c r="D15" s="77"/>
    </row>
    <row r="16" spans="1:9" ht="16" thickBot="1" x14ac:dyDescent="0.4">
      <c r="B16" s="83" t="str">
        <f ca="1">[1]!complexV_E($C$11)</f>
        <v>The three A-B-C choices are all correct</v>
      </c>
      <c r="C16" s="84"/>
      <c r="D16" s="78"/>
    </row>
    <row r="17" spans="1:4" ht="16" thickTop="1" x14ac:dyDescent="0.35"/>
    <row r="18" spans="1:4" x14ac:dyDescent="0.35">
      <c r="C18" s="2" t="s">
        <v>3675</v>
      </c>
      <c r="D18" s="2" t="s">
        <v>620</v>
      </c>
    </row>
    <row r="19" spans="1:4" x14ac:dyDescent="0.35">
      <c r="D19" s="2" t="s">
        <v>1311</v>
      </c>
    </row>
    <row r="20" spans="1:4" x14ac:dyDescent="0.35">
      <c r="D20" s="2" t="s">
        <v>3676</v>
      </c>
    </row>
    <row r="22" spans="1:4" x14ac:dyDescent="0.35">
      <c r="A22" s="88" t="s">
        <v>1501</v>
      </c>
    </row>
    <row r="23" spans="1:4" x14ac:dyDescent="0.35">
      <c r="A23" s="6" t="s">
        <v>856</v>
      </c>
      <c r="B23" s="2" t="s">
        <v>852</v>
      </c>
    </row>
    <row r="24" spans="1:4" x14ac:dyDescent="0.35">
      <c r="A24" s="6" t="s">
        <v>857</v>
      </c>
      <c r="B24" s="2" t="s">
        <v>853</v>
      </c>
    </row>
    <row r="25" spans="1:4" x14ac:dyDescent="0.35">
      <c r="A25" s="6" t="s">
        <v>858</v>
      </c>
      <c r="B25" s="2" t="s">
        <v>860</v>
      </c>
    </row>
    <row r="26" spans="1:4" x14ac:dyDescent="0.35">
      <c r="A26" s="6" t="s">
        <v>859</v>
      </c>
      <c r="B26" s="2" t="s">
        <v>2195</v>
      </c>
    </row>
    <row r="27" spans="1:4" x14ac:dyDescent="0.35">
      <c r="A27" s="6" t="s">
        <v>854</v>
      </c>
      <c r="B27" s="2" t="s">
        <v>2196</v>
      </c>
    </row>
    <row r="28" spans="1:4" x14ac:dyDescent="0.35">
      <c r="A28" s="6" t="s">
        <v>855</v>
      </c>
      <c r="B28" s="2" t="s">
        <v>2197</v>
      </c>
    </row>
    <row r="29" spans="1:4" ht="16" thickBot="1" x14ac:dyDescent="0.4"/>
    <row r="30" spans="1:4" ht="16.5" thickTop="1" thickBot="1" x14ac:dyDescent="0.4">
      <c r="B30" s="76" t="str">
        <f ca="1">[1]!alpha_ans($C$30)</f>
        <v>E</v>
      </c>
      <c r="C30" s="79" t="str">
        <f ca="1" xml:space="preserve"> "/\" &amp;RANDBETWEEN( 1,5) &amp; "/\" &amp;RANDBETWEEN( 1,3) &amp; "/\" &amp;RANDBETWEEN( 1,2) &amp; "/\" &amp; B23 &amp; "/\" &amp; B24 &amp; "/\" &amp; B25 &amp; "/\" &amp; B26 &amp; "/\" &amp; B27 &amp; "/\" &amp; B28</f>
        <v>/\5/\2/\1/\the discount rate equals the interest rate that Federal Reserve District Banks charge member banks for loans/\the discount rate equals the interest rate that Federal Reserve District Banks charge the U.S. Treasury for government debt/\the prime rate is the interest rate that the largest banks charge the best corporate customers/\the prime rate is the interest rate that the largest banks charge consumers on credit card debt/\the Treasury bill rate is the implied interest rate paid by the U.S. government on short-term loans/\the Treasury bill rate is the implied interest rate paid by the U.S. government on 30-year loans</v>
      </c>
      <c r="D30" s="80" t="s">
        <v>2429</v>
      </c>
    </row>
    <row r="31" spans="1:4" ht="16" thickTop="1" x14ac:dyDescent="0.35">
      <c r="B31" s="81" t="str">
        <f ca="1">[1]!complexV_A($C$30)</f>
        <v>the discount rate equals the interest rate that Federal Reserve District Banks charge member banks for loans</v>
      </c>
      <c r="C31" s="82"/>
      <c r="D31" s="77"/>
    </row>
    <row r="32" spans="1:4" x14ac:dyDescent="0.35">
      <c r="B32" s="81" t="str">
        <f ca="1">[1]!complexV_B($C$30)</f>
        <v>the prime rate is the interest rate that the largest banks charge the best corporate customers</v>
      </c>
      <c r="C32" s="82"/>
      <c r="D32" s="77"/>
    </row>
    <row r="33" spans="1:4" x14ac:dyDescent="0.35">
      <c r="B33" s="81" t="str">
        <f ca="1">[1]!complexV_C($C$30)</f>
        <v>the Treasury bill rate is the implied interest rate paid by the U.S. government on short-term loans</v>
      </c>
      <c r="C33" s="82"/>
      <c r="D33" s="77"/>
    </row>
    <row r="34" spans="1:4" x14ac:dyDescent="0.35">
      <c r="B34" s="81" t="str">
        <f ca="1">[1]!complexV_D($C$30)</f>
        <v>Two choices, A and C, are correct</v>
      </c>
      <c r="C34" s="82"/>
      <c r="D34" s="77"/>
    </row>
    <row r="35" spans="1:4" ht="16" thickBot="1" x14ac:dyDescent="0.4">
      <c r="B35" s="83" t="str">
        <f ca="1">[1]!complexV_E($C$30)</f>
        <v>The three A-B-C choices are all correct</v>
      </c>
      <c r="C35" s="84"/>
      <c r="D35" s="78"/>
    </row>
    <row r="36" spans="1:4" ht="16" thickTop="1" x14ac:dyDescent="0.35"/>
    <row r="38" spans="1:4" x14ac:dyDescent="0.35">
      <c r="A38" s="88" t="s">
        <v>1098</v>
      </c>
    </row>
    <row r="39" spans="1:4" x14ac:dyDescent="0.35">
      <c r="A39" s="6" t="s">
        <v>856</v>
      </c>
      <c r="B39" s="2" t="s">
        <v>2963</v>
      </c>
    </row>
    <row r="40" spans="1:4" x14ac:dyDescent="0.35">
      <c r="A40" s="6" t="s">
        <v>857</v>
      </c>
      <c r="B40" s="2" t="s">
        <v>323</v>
      </c>
    </row>
    <row r="41" spans="1:4" x14ac:dyDescent="0.35">
      <c r="A41" s="6" t="s">
        <v>858</v>
      </c>
      <c r="B41" s="2" t="s">
        <v>324</v>
      </c>
    </row>
    <row r="42" spans="1:4" x14ac:dyDescent="0.35">
      <c r="A42" s="6" t="s">
        <v>859</v>
      </c>
      <c r="B42" s="2" t="s">
        <v>3019</v>
      </c>
    </row>
    <row r="43" spans="1:4" x14ac:dyDescent="0.35">
      <c r="A43" s="6" t="s">
        <v>854</v>
      </c>
      <c r="B43" s="2" t="s">
        <v>3363</v>
      </c>
    </row>
    <row r="44" spans="1:4" x14ac:dyDescent="0.35">
      <c r="A44" s="6" t="s">
        <v>855</v>
      </c>
      <c r="B44" s="2" t="s">
        <v>2513</v>
      </c>
    </row>
    <row r="45" spans="1:4" ht="16" thickBot="1" x14ac:dyDescent="0.4"/>
    <row r="46" spans="1:4" ht="16.5" thickTop="1" thickBot="1" x14ac:dyDescent="0.4">
      <c r="B46" s="76" t="str">
        <f ca="1">[1]!alpha_ans($C$46)</f>
        <v>A</v>
      </c>
      <c r="C46" s="79" t="str">
        <f ca="1" xml:space="preserve"> "/\" &amp;RANDBETWEEN( 1,5) &amp; "/\" &amp;RANDBETWEEN( 1,3) &amp; "/\" &amp;RANDBETWEEN( 1,2) &amp; "/\" &amp;B39 &amp; "/\" &amp; B40 &amp; "/\" &amp; B41 &amp; "/\" &amp; B42 &amp; "/\" &amp; B43 &amp; "/\" &amp; B44</f>
        <v>/\1/\2/\1/\the unit of measurement for σ is “%” and that is identical to the unit of measurement for expected return/\the unit of measurement for σ is “%-squared” and that is identical to the unit of measurement for expected return/\for security returns that are normally distributed about 95% of all outcomes lie within two σ of the expected return/\for security returns that are normally distributed about 95% of all outcomes lie within one σ of the expected return/\σ treats extreme upside and downside returns as having the same risk even though investors perceive upside returns as good opportunities/\σ treats extreme upside returns as being less risky than downside returns because investors perceive upside returns as good opportunities</v>
      </c>
      <c r="D46" s="80" t="s">
        <v>2514</v>
      </c>
    </row>
    <row r="47" spans="1:4" ht="16" thickTop="1" x14ac:dyDescent="0.35">
      <c r="B47" s="81" t="str">
        <f ca="1">[1]!complexV_A($C$46)</f>
        <v>the unit of measurement for σ is “%” and that is identical to the unit of measurement for expected return</v>
      </c>
      <c r="C47" s="82"/>
      <c r="D47" s="77"/>
    </row>
    <row r="48" spans="1:4" x14ac:dyDescent="0.35">
      <c r="B48" s="81" t="str">
        <f ca="1">[1]!complexV_B($C$46)</f>
        <v>for security returns that are normally distributed about 95% of all outcomes lie within one σ of the expected return</v>
      </c>
      <c r="C48" s="82"/>
      <c r="D48" s="77"/>
    </row>
    <row r="49" spans="1:4" x14ac:dyDescent="0.35">
      <c r="B49" s="81" t="str">
        <f ca="1">[1]!complexV_C($C$46)</f>
        <v>σ treats extreme upside returns as being less risky than downside returns because investors perceive upside returns as good opportunities</v>
      </c>
      <c r="C49" s="82"/>
      <c r="D49" s="77"/>
    </row>
    <row r="50" spans="1:4" x14ac:dyDescent="0.35">
      <c r="B50" s="81" t="str">
        <f ca="1">[1]!complexV_D($C$46)</f>
        <v>Two choices, A and C, are correct</v>
      </c>
      <c r="C50" s="82"/>
      <c r="D50" s="77"/>
    </row>
    <row r="51" spans="1:4" ht="16" thickBot="1" x14ac:dyDescent="0.4">
      <c r="B51" s="83" t="str">
        <f ca="1">[1]!complexV_E($C$46)</f>
        <v>The three A-B-C choices are all correct</v>
      </c>
      <c r="C51" s="84"/>
      <c r="D51" s="78"/>
    </row>
    <row r="52" spans="1:4" ht="16" thickTop="1" x14ac:dyDescent="0.35"/>
    <row r="54" spans="1:4" x14ac:dyDescent="0.35">
      <c r="A54" s="88" t="s">
        <v>1099</v>
      </c>
    </row>
    <row r="55" spans="1:4" ht="16" thickBot="1" x14ac:dyDescent="0.4"/>
    <row r="56" spans="1:4" ht="16.5" thickTop="1" thickBot="1" x14ac:dyDescent="0.4">
      <c r="B56" s="76" t="str">
        <f ca="1">[1]!stdtf_ans($C$56)</f>
        <v>B</v>
      </c>
      <c r="C56" s="79" t="str">
        <f ca="1" xml:space="preserve"> "/\" &amp;RANDBETWEEN( 1,2) &amp; "/\" &amp; " In January 2002 the euro was introduced into circulation and currencies such as the deutschmark and French franc no longer are circulated. " &amp; "/\"  &amp; " The euro will be introduced into circulation next year and at that time many Europeon currencies such as the deutschmark and French franc will cease to exist. "</f>
        <v xml:space="preserve">/\2/\ In January 2002 the euro was introduced into circulation and currencies such as the deutschmark and French franc no longer are circulated. /\ The euro will be introduced into circulation next year and at that time many Europeon currencies such as the deutschmark and French franc will cease to exist. </v>
      </c>
      <c r="D56" s="80" t="s">
        <v>401</v>
      </c>
    </row>
    <row r="57" spans="1:4" ht="16.5" thickTop="1" thickBot="1" x14ac:dyDescent="0.4">
      <c r="B57" s="83" t="str">
        <f ca="1">[1]!stdtf_q($C$56)</f>
        <v xml:space="preserve"> The euro will be introduced into circulation next year and at that time many Europeon currencies such as the deutschmark and French franc will cease to exist. </v>
      </c>
      <c r="C57" s="84"/>
      <c r="D57" s="78"/>
    </row>
    <row r="58" spans="1:4" ht="16" thickTop="1" x14ac:dyDescent="0.35"/>
    <row r="60" spans="1:4" x14ac:dyDescent="0.35">
      <c r="A60" s="88" t="s">
        <v>1100</v>
      </c>
    </row>
    <row r="61" spans="1:4" ht="16" thickBot="1" x14ac:dyDescent="0.4"/>
    <row r="62" spans="1:4" ht="16.5" thickTop="1" thickBot="1" x14ac:dyDescent="0.4">
      <c r="B62" s="76" t="str">
        <f ca="1">[1]!alpha_ans($C$62)</f>
        <v>A</v>
      </c>
      <c r="C62" s="79" t="str">
        <f ca="1" xml:space="preserve"> "/\" &amp;RANDBETWEEN( 1,5) &amp; "/\" &amp;RANDBETWEEN( 1,3) &amp; "/\" &amp;RANDBETWEEN( 1,2) &amp; "/\" &amp;"an increase in political and social stability" &amp; "/\" &amp; "adoption by eleven European nations of uniform price-setting rules" &amp; "/\" &amp; "an increase in commerce" &amp; "/\" &amp; "a simplified mechanism for converting British money (sterling pound) into US dollars" &amp; "/\" &amp; "a larger and more unified financial market for borrowers and lenders" &amp; "/\" &amp; "a partitioning of national markets into smaller and more accessible marketplaces"</f>
        <v>/\1/\1/\2/\an increase in political and social stability/\adoption by eleven European nations of uniform price-setting rules/\an increase in commerce/\a simplified mechanism for converting British money (sterling pound) into US dollars/\a larger and more unified financial market for borrowers and lenders/\a partitioning of national markets into smaller and more accessible marketplaces</v>
      </c>
      <c r="D62" s="80" t="s">
        <v>402</v>
      </c>
    </row>
    <row r="63" spans="1:4" ht="16" thickTop="1" x14ac:dyDescent="0.35">
      <c r="B63" s="81" t="str">
        <f ca="1">[1]!complexV_A($C$62)</f>
        <v>an increase in political and social stability</v>
      </c>
      <c r="C63" s="82"/>
      <c r="D63" s="77"/>
    </row>
    <row r="64" spans="1:4" x14ac:dyDescent="0.35">
      <c r="B64" s="81" t="str">
        <f ca="1">[1]!complexV_B($C$62)</f>
        <v>a simplified mechanism for converting British money (sterling pound) into US dollars</v>
      </c>
      <c r="C64" s="82"/>
      <c r="D64" s="77"/>
    </row>
    <row r="65" spans="1:7" x14ac:dyDescent="0.35">
      <c r="B65" s="81" t="str">
        <f ca="1">[1]!complexV_C($C$62)</f>
        <v>a partitioning of national markets into smaller and more accessible marketplaces</v>
      </c>
      <c r="C65" s="82"/>
      <c r="D65" s="77"/>
    </row>
    <row r="66" spans="1:7" x14ac:dyDescent="0.35">
      <c r="B66" s="81" t="str">
        <f ca="1">[1]!complexV_D($C$62)</f>
        <v>Two choices, A and B, are correct</v>
      </c>
      <c r="C66" s="82"/>
      <c r="D66" s="77"/>
    </row>
    <row r="67" spans="1:7" ht="16" thickBot="1" x14ac:dyDescent="0.4">
      <c r="B67" s="83" t="str">
        <f ca="1">[1]!complexV_E($C$62)</f>
        <v>None of the A-B-C choices are correct</v>
      </c>
      <c r="C67" s="84"/>
      <c r="D67" s="78"/>
    </row>
    <row r="68" spans="1:7" ht="16" thickTop="1" x14ac:dyDescent="0.35"/>
    <row r="70" spans="1:7" x14ac:dyDescent="0.35">
      <c r="A70" s="88" t="s">
        <v>1101</v>
      </c>
    </row>
    <row r="71" spans="1:7" x14ac:dyDescent="0.35">
      <c r="B71" s="2">
        <f ca="1">(RANDBETWEEN(0,1))</f>
        <v>1</v>
      </c>
    </row>
    <row r="72" spans="1:7" x14ac:dyDescent="0.35">
      <c r="A72" s="6" t="s">
        <v>2972</v>
      </c>
      <c r="B72" s="2" t="str">
        <f ca="1">IF(B71=0,"the annual balance sheet is identical to the fourth-quarter balance sheet.","the annual income statement sums line items from the four quarterly income statements.")</f>
        <v>the annual income statement sums line items from the four quarterly income statements.</v>
      </c>
    </row>
    <row r="73" spans="1:7" x14ac:dyDescent="0.35">
      <c r="A73" s="6" t="s">
        <v>1876</v>
      </c>
      <c r="B73" s="2" t="str">
        <f ca="1">IF(B71=0,"the annual balance sheet sums line items from the four quarterly balance sheets.","the annual income statement is identical to the fourth-quarter income statement.")</f>
        <v>the annual income statement is identical to the fourth-quarter income statement.</v>
      </c>
    </row>
    <row r="74" spans="1:7" ht="16" thickBot="1" x14ac:dyDescent="0.4"/>
    <row r="75" spans="1:7" ht="16.5" thickTop="1" thickBot="1" x14ac:dyDescent="0.4">
      <c r="B75" s="76" t="str">
        <f ca="1">[1]!stdtf_ans($C$75)</f>
        <v>A</v>
      </c>
      <c r="C75" s="79" t="str">
        <f ca="1" xml:space="preserve"> "/\" &amp;RANDBETWEEN( 1,2) &amp; "/\" &amp; B72 &amp; "/\"  &amp; B73</f>
        <v>/\1/\the annual income statement sums line items from the four quarterly income statements./\the annual income statement is identical to the fourth-quarter income statement.</v>
      </c>
      <c r="D75" s="80" t="s">
        <v>3616</v>
      </c>
    </row>
    <row r="76" spans="1:7" ht="16.5" thickTop="1" thickBot="1" x14ac:dyDescent="0.4">
      <c r="B76" s="83" t="str">
        <f ca="1">[1]!stdtf_q($C$75)</f>
        <v>the annual income statement sums line items from the four quarterly income statements.</v>
      </c>
      <c r="C76" s="84"/>
      <c r="D76" s="78"/>
    </row>
    <row r="77" spans="1:7" ht="16" thickTop="1" x14ac:dyDescent="0.35"/>
    <row r="79" spans="1:7" x14ac:dyDescent="0.35">
      <c r="A79" s="88" t="s">
        <v>1102</v>
      </c>
    </row>
    <row r="80" spans="1:7" x14ac:dyDescent="0.35">
      <c r="A80" s="6" t="s">
        <v>2859</v>
      </c>
      <c r="B80" s="2" t="str">
        <f ca="1">IF(G80=0,"a decrease in a liability account represents a use of funds","a decrease in an asset account represents a source of funds")</f>
        <v>a decrease in a liability account represents a use of funds</v>
      </c>
      <c r="G80" s="2">
        <f ca="1">(RANDBETWEEN(0,1))</f>
        <v>0</v>
      </c>
    </row>
    <row r="81" spans="1:7" x14ac:dyDescent="0.35">
      <c r="A81" s="6" t="s">
        <v>2860</v>
      </c>
      <c r="B81" s="2" t="str">
        <f ca="1">IF(G81=0,"an increase in a liability account represents a use of funds","an increase in an asset account represents a source of funds")</f>
        <v>an increase in an asset account represents a source of funds</v>
      </c>
      <c r="G81" s="2">
        <f ca="1">(RANDBETWEEN(0,1))</f>
        <v>1</v>
      </c>
    </row>
    <row r="82" spans="1:7" ht="16" thickBot="1" x14ac:dyDescent="0.4"/>
    <row r="83" spans="1:7" ht="16.5" thickTop="1" thickBot="1" x14ac:dyDescent="0.4">
      <c r="B83" s="76" t="str">
        <f ca="1">[1]!alpha_ans($C$83)</f>
        <v>E</v>
      </c>
      <c r="C83" s="79" t="str">
        <f ca="1" xml:space="preserve"> "/\" &amp;RANDBETWEEN( 1,5) &amp; "/\" &amp;RANDBETWEEN( 1,3) &amp; "/\" &amp;RANDBETWEEN( 1,2) &amp; "/\" &amp;"an increase in a liability account represents a source of funds" &amp; "/\" &amp; "a decrease in a liability account represents a source of funds" &amp; "/\" &amp; "an increase in an asset account represents a use of funds" &amp; "/\" &amp; "a decrease in an asset account represents a use of funds" &amp; "/\" &amp; B80 &amp; "/\" &amp; B81</f>
        <v>/\5/\1/\2/\an increase in a liability account represents a source of funds/\a decrease in a liability account represents a source of funds/\an increase in an asset account represents a use of funds/\a decrease in an asset account represents a use of funds/\a decrease in a liability account represents a use of funds/\an increase in an asset account represents a source of funds</v>
      </c>
      <c r="D83" s="80" t="s">
        <v>2861</v>
      </c>
    </row>
    <row r="84" spans="1:7" ht="16" thickTop="1" x14ac:dyDescent="0.35">
      <c r="B84" s="81" t="str">
        <f ca="1">[1]!complexV_A($C$83)</f>
        <v>a decrease in a liability account represents a source of funds</v>
      </c>
      <c r="C84" s="82"/>
      <c r="D84" s="77"/>
    </row>
    <row r="85" spans="1:7" x14ac:dyDescent="0.35">
      <c r="B85" s="81" t="str">
        <f ca="1">[1]!complexV_B($C$83)</f>
        <v>a decrease in an asset account represents a use of funds</v>
      </c>
      <c r="C85" s="82"/>
      <c r="D85" s="77"/>
    </row>
    <row r="86" spans="1:7" x14ac:dyDescent="0.35">
      <c r="B86" s="81" t="str">
        <f ca="1">[1]!complexV_C($C$83)</f>
        <v>an increase in an asset account represents a source of funds</v>
      </c>
      <c r="C86" s="82"/>
      <c r="D86" s="77"/>
    </row>
    <row r="87" spans="1:7" x14ac:dyDescent="0.35">
      <c r="B87" s="81" t="str">
        <f ca="1">[1]!complexV_D($C$83)</f>
        <v>Two choices, A and B, are correct</v>
      </c>
      <c r="C87" s="82"/>
      <c r="D87" s="77"/>
    </row>
    <row r="88" spans="1:7" ht="16" thickBot="1" x14ac:dyDescent="0.4">
      <c r="B88" s="83" t="str">
        <f ca="1">[1]!complexV_E($C$83)</f>
        <v>None of the A-B-C choices are correct</v>
      </c>
      <c r="C88" s="84"/>
      <c r="D88" s="78"/>
    </row>
    <row r="89" spans="1:7" ht="16" thickTop="1" x14ac:dyDescent="0.35"/>
    <row r="91" spans="1:7" x14ac:dyDescent="0.35">
      <c r="A91" s="88" t="s">
        <v>1103</v>
      </c>
    </row>
    <row r="93" spans="1:7" x14ac:dyDescent="0.35">
      <c r="A93" s="6" t="s">
        <v>3447</v>
      </c>
      <c r="B93" s="2" t="str">
        <f ca="1">CHOOSE(RANDBETWEEN(1,4),"sell shares to the public (or investment banker) through an initial public offering","sell shares to a third party company that is acquiring the business","sell shares back to the business through a negotiated repurchase", "lose most of the investment because of bankruptcy or reorganization")</f>
        <v>sell shares back to the business through a negotiated repurchase</v>
      </c>
    </row>
    <row r="94" spans="1:7" ht="16" thickBot="1" x14ac:dyDescent="0.4"/>
    <row r="95" spans="1:7" ht="16.5" thickTop="1" thickBot="1" x14ac:dyDescent="0.4">
      <c r="B95" s="76" t="str">
        <f ca="1">[1]!alpha_ans($C$95)</f>
        <v>C</v>
      </c>
      <c r="C95" s="79" t="str">
        <f ca="1" xml:space="preserve"> "/\" &amp;RANDBETWEEN( 1,5) &amp; "/\" &amp;RANDBETWEEN( 1,3) &amp; "/\" &amp;RANDBETWEEN( 1,2) &amp; "/\" &amp;"the typical length of the commitment is 4 to 7 years" &amp; "/\" &amp; "the typical length of the commitment is 10 to 20 years" &amp; "/\" &amp; B93 &amp; "/\" &amp; "sell shares to banks that are looking for profitable investments" &amp; "/\" &amp; "an equity investment in the company with the expectation of eventually liquidating the position" &amp; "/\" &amp; "a loan to the business at interest rates that typically are more favorable than rates offered by banks"</f>
        <v>/\3/\1/\1/\the typical length of the commitment is 4 to 7 years/\the typical length of the commitment is 10 to 20 years/\sell shares back to the business through a negotiated repurchase/\sell shares to banks that are looking for profitable investments/\an equity investment in the company with the expectation of eventually liquidating the position/\a loan to the business at interest rates that typically are more favorable than rates offered by banks</v>
      </c>
      <c r="D95" s="80" t="s">
        <v>3448</v>
      </c>
    </row>
    <row r="96" spans="1:7" ht="16" thickTop="1" x14ac:dyDescent="0.35">
      <c r="B96" s="81" t="str">
        <f ca="1">[1]!complexV_A($C$95)</f>
        <v>the typical length of the commitment is 10 to 20 years</v>
      </c>
      <c r="C96" s="82"/>
      <c r="D96" s="77"/>
    </row>
    <row r="97" spans="1:4" x14ac:dyDescent="0.35">
      <c r="B97" s="81" t="str">
        <f ca="1">[1]!complexV_B($C$95)</f>
        <v>sell shares to banks that are looking for profitable investments</v>
      </c>
      <c r="C97" s="82"/>
      <c r="D97" s="77"/>
    </row>
    <row r="98" spans="1:4" x14ac:dyDescent="0.35">
      <c r="B98" s="81" t="str">
        <f ca="1">[1]!complexV_C($C$95)</f>
        <v>an equity investment in the company with the expectation of eventually liquidating the position</v>
      </c>
      <c r="C98" s="82"/>
      <c r="D98" s="77"/>
    </row>
    <row r="99" spans="1:4" x14ac:dyDescent="0.35">
      <c r="B99" s="81" t="str">
        <f ca="1">[1]!complexV_D($C$95)</f>
        <v>Two choices, A and B, are correct</v>
      </c>
      <c r="C99" s="82"/>
      <c r="D99" s="77"/>
    </row>
    <row r="100" spans="1:4" ht="16" thickBot="1" x14ac:dyDescent="0.4">
      <c r="B100" s="83" t="str">
        <f ca="1">[1]!complexV_E($C$95)</f>
        <v>The three A-B-C choices are all correct</v>
      </c>
      <c r="C100" s="84"/>
      <c r="D100" s="78"/>
    </row>
    <row r="101" spans="1:4" ht="16" thickTop="1" x14ac:dyDescent="0.35"/>
    <row r="103" spans="1:4" x14ac:dyDescent="0.35">
      <c r="A103" s="88" t="s">
        <v>3092</v>
      </c>
    </row>
    <row r="104" spans="1:4" ht="16" thickBot="1" x14ac:dyDescent="0.4"/>
    <row r="105" spans="1:4" ht="16.5" thickTop="1" thickBot="1" x14ac:dyDescent="0.4">
      <c r="B105" s="76" t="str">
        <f ca="1">[1]!stdtf_ans($C$105)</f>
        <v>B</v>
      </c>
      <c r="C105" s="79" t="str">
        <f ca="1" xml:space="preserve"> "/\" &amp;RANDBETWEEN( 1,2) &amp; "/\" &amp; "larger" &amp; "/\" &amp; "smaller"</f>
        <v>/\2/\larger/\smaller</v>
      </c>
      <c r="D105" s="80" t="s">
        <v>700</v>
      </c>
    </row>
    <row r="106" spans="1:4" ht="16.5" thickTop="1" thickBot="1" x14ac:dyDescent="0.4">
      <c r="B106" s="83" t="str">
        <f ca="1">[1]!stdtf_q($C$105)</f>
        <v>smaller</v>
      </c>
      <c r="C106" s="84"/>
      <c r="D106" s="78"/>
    </row>
    <row r="107" spans="1:4" ht="16" thickTop="1" x14ac:dyDescent="0.35"/>
    <row r="109" spans="1:4" x14ac:dyDescent="0.35">
      <c r="A109" s="88" t="s">
        <v>191</v>
      </c>
    </row>
    <row r="111" spans="1:4" x14ac:dyDescent="0.35">
      <c r="A111" s="2" t="s">
        <v>1422</v>
      </c>
      <c r="B111" s="2" t="s">
        <v>1565</v>
      </c>
    </row>
    <row r="112" spans="1:4" x14ac:dyDescent="0.35">
      <c r="A112" s="2" t="s">
        <v>1423</v>
      </c>
      <c r="B112" s="2" t="s">
        <v>3674</v>
      </c>
    </row>
    <row r="113" spans="1:4" x14ac:dyDescent="0.35">
      <c r="A113" s="2" t="s">
        <v>1424</v>
      </c>
      <c r="B113" s="2" t="s">
        <v>460</v>
      </c>
    </row>
    <row r="114" spans="1:4" x14ac:dyDescent="0.35">
      <c r="A114" s="2" t="s">
        <v>1425</v>
      </c>
      <c r="B114" s="2" t="s">
        <v>486</v>
      </c>
    </row>
    <row r="115" spans="1:4" x14ac:dyDescent="0.35">
      <c r="A115" s="2" t="s">
        <v>1426</v>
      </c>
      <c r="B115" s="2" t="s">
        <v>2348</v>
      </c>
    </row>
    <row r="116" spans="1:4" x14ac:dyDescent="0.35">
      <c r="A116" s="2" t="s">
        <v>1427</v>
      </c>
      <c r="B116" s="2" t="s">
        <v>2855</v>
      </c>
    </row>
    <row r="117" spans="1:4" ht="16" thickBot="1" x14ac:dyDescent="0.4"/>
    <row r="118" spans="1:4" ht="16.5" thickTop="1" thickBot="1" x14ac:dyDescent="0.4">
      <c r="B118" s="76" t="str">
        <f ca="1">[1]!alpha_ans($C$118)</f>
        <v>A</v>
      </c>
      <c r="C118" s="79" t="str">
        <f ca="1" xml:space="preserve"> "/\" &amp;RANDBETWEEN( 1,5) &amp; "/\" &amp;RANDBETWEEN( 1,3) &amp; "/\" &amp;RANDBETWEEN( 1,2) &amp; "/\" &amp;B111 &amp; "/\" &amp; B112 &amp; "/\" &amp; B113 &amp; "/\" &amp; B114 &amp; "/\" &amp; B115 &amp; "/\" &amp; B116</f>
        <v>/\1/\2/\2/\With the firm commitment contract an investment banker buys the company shares at a fixed price, resells the shares through the IPO, and bears maximum risk of adverse price movements/\With the firm commitment contract an investment banker buys the company shares at a fixed price, resells the shares through the IPO, and the company bears all the risk of adverse price movements/\With the best efforts contract an investment banker receives a negotiated fee, assists the company to sell its shares through the IPO at the best price the company can get, and the company bears all the risk of adverse price movements/\With the best efforts contract an investment banker receives a negotiated fee, assists the company to sell its shares through the IPO at the best price the company can get, and the investment banker bears all the risk of adverse price movements/\The initial one day average return on an IPO is about 15% to 25% and, irrespective of the contract with the investment banker, the issuing company does not receive that day’s capital gain/\The initial one day average return on an IPO is about 15% to 25% and, irrespective of the contract with the investment banker, the issuing company and investment banker equally share that day’s capital gain</v>
      </c>
      <c r="D118" s="80" t="s">
        <v>487</v>
      </c>
    </row>
    <row r="119" spans="1:4" ht="16" thickTop="1" x14ac:dyDescent="0.35">
      <c r="B119" s="81" t="str">
        <f ca="1">[1]!complexV_A($C$118)</f>
        <v>With the firm commitment contract an investment banker buys the company shares at a fixed price, resells the shares through the IPO, and bears maximum risk of adverse price movements</v>
      </c>
      <c r="C119" s="82"/>
      <c r="D119" s="77"/>
    </row>
    <row r="120" spans="1:4" x14ac:dyDescent="0.35">
      <c r="B120" s="81" t="str">
        <f ca="1">[1]!complexV_B($C$118)</f>
        <v>With the best efforts contract an investment banker receives a negotiated fee, assists the company to sell its shares through the IPO at the best price the company can get, and the investment banker bears all the risk of adverse price movements</v>
      </c>
      <c r="C120" s="82"/>
      <c r="D120" s="77"/>
    </row>
    <row r="121" spans="1:4" x14ac:dyDescent="0.35">
      <c r="B121" s="81" t="str">
        <f ca="1">[1]!complexV_C($C$118)</f>
        <v>The initial one day average return on an IPO is about 15% to 25% and, irrespective of the contract with the investment banker, the issuing company and investment banker equally share that day’s capital gain</v>
      </c>
      <c r="C121" s="82"/>
      <c r="D121" s="77"/>
    </row>
    <row r="122" spans="1:4" x14ac:dyDescent="0.35">
      <c r="B122" s="81" t="str">
        <f ca="1">[1]!complexV_D($C$118)</f>
        <v>Two choices, A and C, are correct</v>
      </c>
      <c r="C122" s="82"/>
      <c r="D122" s="77"/>
    </row>
    <row r="123" spans="1:4" ht="16" thickBot="1" x14ac:dyDescent="0.4">
      <c r="B123" s="83" t="str">
        <f ca="1">[1]!complexV_E($C$118)</f>
        <v>None of the A-B-C choices are correct</v>
      </c>
      <c r="C123" s="84"/>
      <c r="D123" s="78"/>
    </row>
    <row r="124" spans="1:4" ht="16" thickTop="1" x14ac:dyDescent="0.35"/>
    <row r="126" spans="1:4" x14ac:dyDescent="0.35">
      <c r="A126" s="88" t="s">
        <v>3765</v>
      </c>
    </row>
    <row r="127" spans="1:4" x14ac:dyDescent="0.35">
      <c r="A127" s="2" t="s">
        <v>1422</v>
      </c>
      <c r="B127" s="2" t="s">
        <v>2327</v>
      </c>
    </row>
    <row r="128" spans="1:4" x14ac:dyDescent="0.35">
      <c r="A128" s="2" t="s">
        <v>1423</v>
      </c>
      <c r="B128" s="2" t="s">
        <v>1989</v>
      </c>
    </row>
    <row r="129" spans="1:4" x14ac:dyDescent="0.35">
      <c r="A129" s="2" t="s">
        <v>1424</v>
      </c>
      <c r="B129" s="2" t="s">
        <v>2754</v>
      </c>
    </row>
    <row r="130" spans="1:4" x14ac:dyDescent="0.35">
      <c r="A130" s="2" t="s">
        <v>1425</v>
      </c>
      <c r="B130" s="2" t="s">
        <v>622</v>
      </c>
    </row>
    <row r="131" spans="1:4" x14ac:dyDescent="0.35">
      <c r="A131" s="2" t="s">
        <v>1426</v>
      </c>
      <c r="B131" s="2" t="s">
        <v>87</v>
      </c>
    </row>
    <row r="132" spans="1:4" x14ac:dyDescent="0.35">
      <c r="A132" s="2" t="s">
        <v>1427</v>
      </c>
      <c r="B132" s="2" t="s">
        <v>1667</v>
      </c>
    </row>
    <row r="133" spans="1:4" ht="16" thickBot="1" x14ac:dyDescent="0.4"/>
    <row r="134" spans="1:4" ht="16.5" thickTop="1" thickBot="1" x14ac:dyDescent="0.4">
      <c r="B134" s="76" t="str">
        <f ca="1">[1]!alpha_ans($C$134)</f>
        <v>C</v>
      </c>
      <c r="C134" s="79" t="str">
        <f ca="1" xml:space="preserve"> "/\" &amp;RANDBETWEEN( 1,5) &amp; "/\" &amp;RANDBETWEEN( 1,3) &amp; "/\" &amp;RANDBETWEEN( 1,2) &amp; "/\" &amp;B127 &amp; "/\" &amp; B128 &amp; "/\" &amp; B129 &amp; "/\" &amp; B130 &amp; "/\" &amp; B131 &amp; "/\" &amp; B132</f>
        <v>/\3/\2/\2/\to issue large numbers of new stocks to existing target shareholders./\to sell large blocks of stocks to potential raiding companies./\with lucrative payments in event they are terminated because of a take-over./\with the opportunity, in event they are terminated because of a take-over, to spin-off divisions of the company into which fired management is guaranteed employment and full-ownership./\A white-knight strategy occurs when a potential takeover target tries to find a friendly company to takeover the target in order to thwart an unfriendly raider./\A white-knight strategy occurs when a potential takeover target gives existing management sufficient new stock so that their ownership position as company leaders is unshakeable.</v>
      </c>
      <c r="D134" s="80" t="s">
        <v>1668</v>
      </c>
    </row>
    <row r="135" spans="1:4" ht="16" thickTop="1" x14ac:dyDescent="0.35">
      <c r="B135" s="81" t="str">
        <f ca="1">[1]!complexV_A($C$134)</f>
        <v>to sell large blocks of stocks to potential raiding companies.</v>
      </c>
      <c r="C135" s="82"/>
      <c r="D135" s="77"/>
    </row>
    <row r="136" spans="1:4" x14ac:dyDescent="0.35">
      <c r="B136" s="81" t="str">
        <f ca="1">[1]!complexV_B($C$134)</f>
        <v>with the opportunity, in event they are terminated because of a take-over, to spin-off divisions of the company into which fired management is guaranteed employment and full-ownership.</v>
      </c>
      <c r="C136" s="82"/>
      <c r="D136" s="77"/>
    </row>
    <row r="137" spans="1:4" x14ac:dyDescent="0.35">
      <c r="B137" s="81" t="str">
        <f ca="1">[1]!complexV_C($C$134)</f>
        <v>A white-knight strategy occurs when a potential takeover target tries to find a friendly company to takeover the target in order to thwart an unfriendly raider.</v>
      </c>
      <c r="C137" s="82"/>
      <c r="D137" s="77"/>
    </row>
    <row r="138" spans="1:4" x14ac:dyDescent="0.35">
      <c r="B138" s="81" t="str">
        <f ca="1">[1]!complexV_D($C$134)</f>
        <v>Two choices, A and C, are correct</v>
      </c>
      <c r="C138" s="82"/>
      <c r="D138" s="77"/>
    </row>
    <row r="139" spans="1:4" ht="16" thickBot="1" x14ac:dyDescent="0.4">
      <c r="B139" s="83" t="str">
        <f ca="1">[1]!complexV_E($C$134)</f>
        <v>None of the A-B-C choices are correct</v>
      </c>
      <c r="C139" s="84"/>
      <c r="D139" s="78"/>
    </row>
    <row r="140" spans="1:4" ht="16" thickTop="1" x14ac:dyDescent="0.35"/>
    <row r="142" spans="1:4" x14ac:dyDescent="0.35">
      <c r="A142" s="88" t="s">
        <v>1630</v>
      </c>
    </row>
    <row r="143" spans="1:4" x14ac:dyDescent="0.35">
      <c r="A143" s="2" t="s">
        <v>1422</v>
      </c>
      <c r="B143" s="2" t="s">
        <v>3593</v>
      </c>
    </row>
    <row r="144" spans="1:4" x14ac:dyDescent="0.35">
      <c r="A144" s="2" t="s">
        <v>1423</v>
      </c>
      <c r="B144" s="2" t="s">
        <v>436</v>
      </c>
    </row>
    <row r="145" spans="1:4" x14ac:dyDescent="0.35">
      <c r="A145" s="2" t="s">
        <v>1424</v>
      </c>
      <c r="B145" s="2" t="s">
        <v>437</v>
      </c>
    </row>
    <row r="146" spans="1:4" x14ac:dyDescent="0.35">
      <c r="A146" s="2" t="s">
        <v>1425</v>
      </c>
      <c r="B146" s="2" t="s">
        <v>920</v>
      </c>
    </row>
    <row r="147" spans="1:4" x14ac:dyDescent="0.35">
      <c r="A147" s="2" t="s">
        <v>1426</v>
      </c>
      <c r="B147" s="2" t="s">
        <v>921</v>
      </c>
    </row>
    <row r="148" spans="1:4" x14ac:dyDescent="0.35">
      <c r="A148" s="2" t="s">
        <v>1427</v>
      </c>
      <c r="B148" s="2" t="s">
        <v>1274</v>
      </c>
    </row>
    <row r="149" spans="1:4" ht="16" thickBot="1" x14ac:dyDescent="0.4"/>
    <row r="150" spans="1:4" ht="16.5" thickTop="1" thickBot="1" x14ac:dyDescent="0.4">
      <c r="B150" s="76" t="str">
        <f ca="1">[1]!alpha_ans($C$150)</f>
        <v>C</v>
      </c>
      <c r="C150" s="79" t="str">
        <f ca="1" xml:space="preserve"> "/\" &amp;RANDBETWEEN( 1,5) &amp; "/\" &amp;RANDBETWEEN( 1,3) &amp; "/\" &amp;RANDBETWEEN( 1,2) &amp; "/\" &amp;B143 &amp; "/\" &amp; B144 &amp; "/\" &amp; B145 &amp; "/\" &amp; B146 &amp; "/\" &amp; B147 &amp; "/\" &amp; B148</f>
        <v>/\3/\3/\1/\the payback period ignores the time value of money/\the payback period gives higher importance to cash flows received sooner rather than later/\a short payback period is better than a long payback period/\a short payback period is worse than a long payback period/\the payback period ignores cash flows occurring after the payback point is reached/\the payback period measures cash flows occurring throughout the length of the entire cash flow stream</v>
      </c>
      <c r="D150" s="80" t="s">
        <v>1275</v>
      </c>
    </row>
    <row r="151" spans="1:4" ht="16" thickTop="1" x14ac:dyDescent="0.35">
      <c r="B151" s="81" t="str">
        <f ca="1">[1]!complexV_A($C$150)</f>
        <v>the payback period gives higher importance to cash flows received sooner rather than later</v>
      </c>
      <c r="C151" s="82"/>
      <c r="D151" s="77"/>
    </row>
    <row r="152" spans="1:4" x14ac:dyDescent="0.35">
      <c r="B152" s="81" t="str">
        <f ca="1">[1]!complexV_B($C$150)</f>
        <v>a short payback period is worse than a long payback period</v>
      </c>
      <c r="C152" s="82"/>
      <c r="D152" s="77"/>
    </row>
    <row r="153" spans="1:4" x14ac:dyDescent="0.35">
      <c r="B153" s="81" t="str">
        <f ca="1">[1]!complexV_C($C$150)</f>
        <v>the payback period ignores cash flows occurring after the payback point is reached</v>
      </c>
      <c r="C153" s="82"/>
      <c r="D153" s="77"/>
    </row>
    <row r="154" spans="1:4" x14ac:dyDescent="0.35">
      <c r="B154" s="81" t="str">
        <f ca="1">[1]!complexV_D($C$150)</f>
        <v>Two choices, B and C, are correct</v>
      </c>
      <c r="C154" s="82"/>
      <c r="D154" s="77"/>
    </row>
    <row r="155" spans="1:4" ht="16" thickBot="1" x14ac:dyDescent="0.4">
      <c r="B155" s="83" t="str">
        <f ca="1">[1]!complexV_E($C$150)</f>
        <v>The three A-B-C choices are all correct</v>
      </c>
      <c r="C155" s="84"/>
      <c r="D155" s="78"/>
    </row>
    <row r="156" spans="1:4" ht="16" thickTop="1" x14ac:dyDescent="0.35"/>
    <row r="158" spans="1:4" ht="16" thickBot="1" x14ac:dyDescent="0.4">
      <c r="A158" s="88" t="s">
        <v>1631</v>
      </c>
    </row>
    <row r="159" spans="1:4" ht="16.5" thickTop="1" thickBot="1" x14ac:dyDescent="0.4">
      <c r="B159" s="76" t="str">
        <f ca="1">[1]!std_ans($C$159)</f>
        <v>E</v>
      </c>
      <c r="C159" s="79" t="str">
        <f ca="1" xml:space="preserve"> "/\" &amp;RANDBETWEEN( 1,120) &amp; "/\" &amp; "the curve normally begins with a steep upward slope that flattens toward the right" &amp; "/\" &amp; "coordinates of the yield curve are interest rate on horizontal axis and term-to-maturity on vertical axis" &amp; "/\" &amp; "the curve normally begins flat and steepens downward toward the right" &amp; "/\" &amp; "the curve depicts the spread between corporate bond yields and Treasury bonds" &amp; "/\" &amp; "coordinates of the yield curve are yield-to-maturity on horizontal axis and term-to-maturity on vertical axis"</f>
        <v>/\106/\the curve normally begins with a steep upward slope that flattens toward the right/\coordinates of the yield curve are interest rate on horizontal axis and term-to-maturity on vertical axis/\the curve normally begins flat and steepens downward toward the right/\the curve depicts the spread between corporate bond yields and Treasury bonds/\coordinates of the yield curve are yield-to-maturity on horizontal axis and term-to-maturity on vertical axis</v>
      </c>
      <c r="D159" s="80" t="s">
        <v>1702</v>
      </c>
    </row>
    <row r="160" spans="1:4" ht="16" thickTop="1" x14ac:dyDescent="0.35">
      <c r="B160" s="81" t="str">
        <f ca="1">[1]!simpleV_A($C$159)</f>
        <v>coordinates of the yield curve are yield-to-maturity on horizontal axis and term-to-maturity on vertical axis</v>
      </c>
      <c r="C160" s="82"/>
      <c r="D160" s="77"/>
    </row>
    <row r="161" spans="1:4" x14ac:dyDescent="0.35">
      <c r="B161" s="81" t="str">
        <f ca="1">[1]!simpleV_B($C$159)</f>
        <v>coordinates of the yield curve are interest rate on horizontal axis and term-to-maturity on vertical axis</v>
      </c>
      <c r="C161" s="82"/>
      <c r="D161" s="77"/>
    </row>
    <row r="162" spans="1:4" x14ac:dyDescent="0.35">
      <c r="B162" s="81" t="str">
        <f ca="1">[1]!simpleV_C($C$159)</f>
        <v>the curve normally begins flat and steepens downward toward the right</v>
      </c>
      <c r="C162" s="82"/>
      <c r="D162" s="77"/>
    </row>
    <row r="163" spans="1:4" x14ac:dyDescent="0.35">
      <c r="B163" s="81" t="str">
        <f ca="1">[1]!simpleV_D($C$159)</f>
        <v>the curve depicts the spread between corporate bond yields and Treasury bonds</v>
      </c>
      <c r="C163" s="82"/>
      <c r="D163" s="77"/>
    </row>
    <row r="164" spans="1:4" ht="16" thickBot="1" x14ac:dyDescent="0.4">
      <c r="B164" s="83" t="str">
        <f ca="1">[1]!simpleV_E($C$159)</f>
        <v>the curve normally begins with a steep upward slope that flattens toward the right</v>
      </c>
      <c r="C164" s="84"/>
      <c r="D164" s="78"/>
    </row>
    <row r="165" spans="1:4" ht="16" thickTop="1" x14ac:dyDescent="0.35"/>
    <row r="167" spans="1:4" ht="16" thickBot="1" x14ac:dyDescent="0.4">
      <c r="A167" s="88" t="s">
        <v>1632</v>
      </c>
    </row>
    <row r="168" spans="1:4" ht="16.5" thickTop="1" thickBot="1" x14ac:dyDescent="0.4">
      <c r="B168" s="76" t="str">
        <f ca="1">[1]!stdtf_ans($C$168)</f>
        <v>B</v>
      </c>
      <c r="C168" s="79" t="str">
        <f ca="1" xml:space="preserve"> "/\" &amp;RANDBETWEEN( 1,2) &amp; "/\" &amp; "the stock has an infinite intrinsic value." &amp; "/\" &amp; "the stock's intrinsic value means the stock is worthless."</f>
        <v>/\2/\the stock has an infinite intrinsic value./\the stock's intrinsic value means the stock is worthless.</v>
      </c>
      <c r="D168" s="80" t="s">
        <v>2456</v>
      </c>
    </row>
    <row r="169" spans="1:4" ht="16.5" thickTop="1" thickBot="1" x14ac:dyDescent="0.4">
      <c r="B169" s="83" t="str">
        <f ca="1">[1]!stdtf_q($C$168)</f>
        <v>the stock's intrinsic value means the stock is worthless.</v>
      </c>
      <c r="C169" s="84"/>
      <c r="D169" s="78"/>
    </row>
    <row r="170" spans="1:4" ht="16" thickTop="1" x14ac:dyDescent="0.35"/>
    <row r="172" spans="1:4" x14ac:dyDescent="0.35">
      <c r="A172" s="88" t="s">
        <v>1633</v>
      </c>
    </row>
    <row r="173" spans="1:4" x14ac:dyDescent="0.35">
      <c r="A173" s="2" t="s">
        <v>1932</v>
      </c>
      <c r="B173" s="2" t="s">
        <v>1931</v>
      </c>
    </row>
    <row r="174" spans="1:4" x14ac:dyDescent="0.35">
      <c r="A174" s="2" t="s">
        <v>1933</v>
      </c>
      <c r="B174" s="2" t="s">
        <v>1934</v>
      </c>
    </row>
    <row r="175" spans="1:4" ht="16" thickBot="1" x14ac:dyDescent="0.4"/>
    <row r="176" spans="1:4" ht="16.5" thickTop="1" thickBot="1" x14ac:dyDescent="0.4">
      <c r="B176" s="76" t="str">
        <f ca="1">[1]!alpha_ans($C$176)</f>
        <v>C</v>
      </c>
      <c r="C176" s="79" t="str">
        <f ca="1" xml:space="preserve"> "/\" &amp;RANDBETWEEN( 1,5) &amp; "/\" &amp;RANDBETWEEN( 1,3) &amp; "/\" &amp;RANDBETWEEN( 1,2) &amp; "/\" &amp;"increases" &amp; "/\" &amp; "decreases" &amp; "/\" &amp; B173 &amp; "/\" &amp; B174 &amp; "/\" &amp; "two standard deviations" &amp; "/\" &amp; "one standard deviation"</f>
        <v>/\3/\1/\2/\increases/\decreases/\the standard deviation is equally sensitive to upside as well as downside extreme returns/\the standard deviation gives less weight to upside extreme returns because these are good outcomes, whereas downside extreme returns are bad outcomes and so receive more weight/\two standard deviations/\one standard deviation</v>
      </c>
      <c r="D176" s="80" t="s">
        <v>343</v>
      </c>
    </row>
    <row r="177" spans="1:4" ht="16" thickTop="1" x14ac:dyDescent="0.35">
      <c r="B177" s="81" t="str">
        <f ca="1">[1]!complexV_A($C$176)</f>
        <v>decreases</v>
      </c>
      <c r="C177" s="82"/>
      <c r="D177" s="77"/>
    </row>
    <row r="178" spans="1:4" x14ac:dyDescent="0.35">
      <c r="B178" s="81" t="str">
        <f ca="1">[1]!complexV_B($C$176)</f>
        <v>the standard deviation gives less weight to upside extreme returns because these are good outcomes, whereas downside extreme returns are bad outcomes and so receive more weight</v>
      </c>
      <c r="C178" s="82"/>
      <c r="D178" s="77"/>
    </row>
    <row r="179" spans="1:4" x14ac:dyDescent="0.35">
      <c r="B179" s="81" t="str">
        <f ca="1">[1]!complexV_C($C$176)</f>
        <v>two standard deviations</v>
      </c>
      <c r="C179" s="82"/>
      <c r="D179" s="77"/>
    </row>
    <row r="180" spans="1:4" x14ac:dyDescent="0.35">
      <c r="B180" s="81" t="str">
        <f ca="1">[1]!complexV_D($C$176)</f>
        <v>Two choices, A and B, are correct</v>
      </c>
      <c r="C180" s="82"/>
      <c r="D180" s="77"/>
    </row>
    <row r="181" spans="1:4" ht="16" thickBot="1" x14ac:dyDescent="0.4">
      <c r="B181" s="83" t="str">
        <f ca="1">[1]!complexV_E($C$176)</f>
        <v>None of the A-B-C choices are correct</v>
      </c>
      <c r="C181" s="84"/>
      <c r="D181" s="78"/>
    </row>
    <row r="182" spans="1:4" ht="16" thickTop="1" x14ac:dyDescent="0.35"/>
    <row r="184" spans="1:4" ht="16" thickBot="1" x14ac:dyDescent="0.4">
      <c r="A184" s="88" t="s">
        <v>1634</v>
      </c>
    </row>
    <row r="185" spans="1:4" ht="16.5" thickTop="1" thickBot="1" x14ac:dyDescent="0.4">
      <c r="B185" s="76" t="str">
        <f ca="1">[1]!alpha_ans($C$185)</f>
        <v>D</v>
      </c>
      <c r="C185" s="79" t="str">
        <f ca="1" xml:space="preserve"> "/\" &amp;RANDBETWEEN( 1,5) &amp; "/\" &amp;RANDBETWEEN( 1,3) &amp; "/\" &amp;RANDBETWEEN( 1,2) &amp; "/\" &amp;"stocks" &amp; "/\" &amp; "real estate" &amp; "/\" &amp; "bonds" &amp; "/\" &amp; "international equities" &amp; "/\" &amp; "cash " &amp; "/\" &amp; "mutual funds"</f>
        <v>/\4/\1/\1/\stocks/\real estate/\bonds/\international equities/\cash /\mutual funds</v>
      </c>
      <c r="D185" s="80" t="s">
        <v>3415</v>
      </c>
    </row>
    <row r="186" spans="1:4" ht="16" thickTop="1" x14ac:dyDescent="0.35">
      <c r="B186" s="81" t="str">
        <f ca="1">[1]!complexV_A($C$185)</f>
        <v>stocks</v>
      </c>
      <c r="C186" s="82"/>
      <c r="D186" s="77"/>
    </row>
    <row r="187" spans="1:4" x14ac:dyDescent="0.35">
      <c r="B187" s="81" t="str">
        <f ca="1">[1]!complexV_B($C$185)</f>
        <v>bonds</v>
      </c>
      <c r="C187" s="82"/>
      <c r="D187" s="77"/>
    </row>
    <row r="188" spans="1:4" x14ac:dyDescent="0.35">
      <c r="B188" s="81" t="str">
        <f ca="1">[1]!complexV_C($C$185)</f>
        <v>mutual funds</v>
      </c>
      <c r="C188" s="82"/>
      <c r="D188" s="77"/>
    </row>
    <row r="189" spans="1:4" x14ac:dyDescent="0.35">
      <c r="B189" s="81" t="str">
        <f ca="1">[1]!complexV_D($C$185)</f>
        <v>Two choices, A and B, are correct</v>
      </c>
      <c r="C189" s="82"/>
      <c r="D189" s="77"/>
    </row>
    <row r="190" spans="1:4" ht="16" thickBot="1" x14ac:dyDescent="0.4">
      <c r="B190" s="83" t="str">
        <f ca="1">[1]!complexV_E($C$185)</f>
        <v>The three A-B-C choices are all correct</v>
      </c>
      <c r="C190" s="84"/>
      <c r="D190" s="78"/>
    </row>
    <row r="191" spans="1:4" ht="16" thickTop="1" x14ac:dyDescent="0.35"/>
    <row r="193" spans="1:4" x14ac:dyDescent="0.35">
      <c r="A193" s="88" t="s">
        <v>1635</v>
      </c>
    </row>
    <row r="194" spans="1:4" x14ac:dyDescent="0.35">
      <c r="A194" s="6" t="s">
        <v>3416</v>
      </c>
      <c r="B194" s="2" t="s">
        <v>1170</v>
      </c>
    </row>
    <row r="195" spans="1:4" x14ac:dyDescent="0.35">
      <c r="A195" s="6" t="s">
        <v>3417</v>
      </c>
      <c r="B195" s="2" t="s">
        <v>2396</v>
      </c>
    </row>
    <row r="196" spans="1:4" x14ac:dyDescent="0.35">
      <c r="A196" s="6" t="s">
        <v>3418</v>
      </c>
      <c r="B196" s="2" t="s">
        <v>1171</v>
      </c>
    </row>
    <row r="197" spans="1:4" x14ac:dyDescent="0.35">
      <c r="A197" s="6" t="s">
        <v>3419</v>
      </c>
      <c r="B197" s="2" t="s">
        <v>1169</v>
      </c>
    </row>
    <row r="199" spans="1:4" x14ac:dyDescent="0.35">
      <c r="B199" s="2" t="str">
        <f ca="1">IF((RANDBETWEEN(0,1))=0,B194,B195)</f>
        <v>stocks with large betas earn high equilibrium rates of return</v>
      </c>
    </row>
    <row r="200" spans="1:4" x14ac:dyDescent="0.35">
      <c r="B200" s="2" t="str">
        <f ca="1">IF(flag2=0,B196,B197)</f>
        <v>stocks with high betas also have large standard deviations of returns</v>
      </c>
    </row>
    <row r="201" spans="1:4" ht="16" thickBot="1" x14ac:dyDescent="0.4"/>
    <row r="202" spans="1:4" ht="16.5" thickTop="1" thickBot="1" x14ac:dyDescent="0.4">
      <c r="B202" s="76" t="str">
        <f ca="1">[1]!stdtf_ans($C$202)</f>
        <v>B</v>
      </c>
      <c r="C202" s="79" t="str">
        <f ca="1" xml:space="preserve"> "/\" &amp;RANDBETWEEN( 1,2) &amp; "/\" &amp; B199 &amp; "/\" &amp; B200</f>
        <v>/\2/\stocks with large betas earn high equilibrium rates of return/\stocks with high betas also have large standard deviations of returns</v>
      </c>
      <c r="D202" s="80" t="s">
        <v>2395</v>
      </c>
    </row>
    <row r="203" spans="1:4" ht="16.5" thickTop="1" thickBot="1" x14ac:dyDescent="0.4">
      <c r="B203" s="83" t="str">
        <f ca="1">[1]!stdtf_q($C$202)</f>
        <v>stocks with high betas also have large standard deviations of returns</v>
      </c>
      <c r="C203" s="84"/>
      <c r="D203" s="78"/>
    </row>
    <row r="204" spans="1:4" ht="16" thickTop="1" x14ac:dyDescent="0.35"/>
    <row r="206" spans="1:4" x14ac:dyDescent="0.35">
      <c r="A206" s="88" t="s">
        <v>1636</v>
      </c>
    </row>
    <row r="207" spans="1:4" x14ac:dyDescent="0.35">
      <c r="A207" s="2">
        <f ca="1">(RANDBETWEEN(0,1))</f>
        <v>0</v>
      </c>
      <c r="B207" s="2" t="str">
        <f ca="1">IF(A207=0,"William Sharpe","Harry Markowitz")</f>
        <v>William Sharpe</v>
      </c>
    </row>
    <row r="208" spans="1:4" x14ac:dyDescent="0.35">
      <c r="B208" s="2" t="str">
        <f ca="1">IF(A207=0,"Capital Asset Pricing Model","modern portfolio theory and the efficient frontier concept")</f>
        <v>Capital Asset Pricing Model</v>
      </c>
    </row>
    <row r="209" spans="1:4" ht="16" thickBot="1" x14ac:dyDescent="0.4"/>
    <row r="210" spans="1:4" ht="16.5" thickTop="1" thickBot="1" x14ac:dyDescent="0.4">
      <c r="B210" s="76" t="str">
        <f ca="1">[1]!std_ans($C$210)</f>
        <v>A</v>
      </c>
      <c r="C210" s="79" t="str">
        <f ca="1" xml:space="preserve"> "/\" &amp;RANDBETWEEN( 1,120) &amp; "/\" &amp;RANDBETWEEN( 1,3) &amp; "/\" &amp;RANDBETWEEN( 1,2) &amp; "/\" &amp;RANDBETWEEN( 1,2) &amp; "/\" &amp;RANDBETWEEN( 1,8)  &amp; "/\" &amp; B207 &amp; "/\" &amp; "Benjamin Graham" &amp; "/\" &amp; "Burton Malkiel" &amp; "/\" &amp; B208 &amp; "/\" &amp; "a scientific approach to applied investments" &amp; "/\" &amp; "the efficient market hypothesis" &amp; "/\" &amp; "WW"</f>
        <v>/\18/\3/\1/\2/\8/\William Sharpe/\Benjamin Graham/\Burton Malkiel/\Capital Asset Pricing Model/\a scientific approach to applied investments/\the efficient market hypothesis/\WW</v>
      </c>
      <c r="D210" s="80" t="s">
        <v>1746</v>
      </c>
    </row>
    <row r="211" spans="1:4" ht="16" thickTop="1" x14ac:dyDescent="0.35">
      <c r="B211" s="81" t="str">
        <f ca="1">[1]!threepairs_A($C$210)</f>
        <v>Burton Malkiel</v>
      </c>
      <c r="C211" s="82" t="str">
        <f ca="1">[1]!threepairs_A2($C$210)</f>
        <v>the efficient market hypothesis</v>
      </c>
      <c r="D211" s="77"/>
    </row>
    <row r="212" spans="1:4" x14ac:dyDescent="0.35">
      <c r="B212" s="81" t="str">
        <f ca="1">[1]!threepairs_B($C$210)</f>
        <v>William Sharpe</v>
      </c>
      <c r="C212" s="82" t="str">
        <f ca="1">[1]!threepairs_B2($C$210)</f>
        <v>the efficient market hypothesis</v>
      </c>
      <c r="D212" s="77"/>
    </row>
    <row r="213" spans="1:4" x14ac:dyDescent="0.35">
      <c r="B213" s="81" t="str">
        <f ca="1">[1]!threepairs_C($C$210)</f>
        <v>Benjamin Graham</v>
      </c>
      <c r="C213" s="82" t="str">
        <f ca="1">[1]!threepairs_C2($C$210)</f>
        <v>the efficient market hypothesis</v>
      </c>
      <c r="D213" s="77"/>
    </row>
    <row r="214" spans="1:4" x14ac:dyDescent="0.35">
      <c r="B214" s="81" t="str">
        <f ca="1">[1]!threepairs_D($C$210)</f>
        <v>Benjamin Graham</v>
      </c>
      <c r="C214" s="82" t="str">
        <f ca="1">[1]!threepairs_D2($C$210)</f>
        <v>Capital Asset Pricing Model</v>
      </c>
      <c r="D214" s="77"/>
    </row>
    <row r="215" spans="1:4" ht="16" thickBot="1" x14ac:dyDescent="0.4">
      <c r="B215" s="83" t="str">
        <f ca="1">[1]!threepairs_E($C$210)</f>
        <v>William Sharpe</v>
      </c>
      <c r="C215" s="84" t="str">
        <f ca="1">[1]!threepairs_E2($C$210)</f>
        <v>a scientific approach to applied investments</v>
      </c>
      <c r="D215" s="78"/>
    </row>
    <row r="216" spans="1:4" ht="16" thickTop="1" x14ac:dyDescent="0.35"/>
    <row r="218" spans="1:4" x14ac:dyDescent="0.35">
      <c r="A218" s="88" t="s">
        <v>1637</v>
      </c>
    </row>
    <row r="220" spans="1:4" x14ac:dyDescent="0.35">
      <c r="A220" s="2">
        <f ca="1">(RANDBETWEEN(0,1))</f>
        <v>0</v>
      </c>
      <c r="B220" s="2" t="str">
        <f ca="1">IF(A220=0,"hedgers","speculators")</f>
        <v>hedgers</v>
      </c>
    </row>
    <row r="221" spans="1:4" x14ac:dyDescent="0.35">
      <c r="A221" s="2" t="s">
        <v>2146</v>
      </c>
      <c r="B221" s="2" t="str">
        <f ca="1">IF(A220=0,"they expect or already have a position in the underlying commodity","the type of commodity covered by the contract is almost irrelevant")</f>
        <v>they expect or already have a position in the underlying commodity</v>
      </c>
    </row>
    <row r="222" spans="1:4" x14ac:dyDescent="0.35">
      <c r="A222" s="2" t="s">
        <v>2147</v>
      </c>
      <c r="B222" s="2" t="str">
        <f ca="1">IF(A220=1,"they expect or already have a position in the underlying commodity","the type of commodity covered by the contract is almost irrelevant")</f>
        <v>the type of commodity covered by the contract is almost irrelevant</v>
      </c>
    </row>
    <row r="223" spans="1:4" x14ac:dyDescent="0.35">
      <c r="A223" s="2" t="s">
        <v>2148</v>
      </c>
      <c r="B223" s="2" t="str">
        <f ca="1">IF(A220=0,"movements in the commodity price have modest effect on the overall outcome","movements in the commodity price almost totally determine the outcome")</f>
        <v>movements in the commodity price have modest effect on the overall outcome</v>
      </c>
    </row>
    <row r="224" spans="1:4" x14ac:dyDescent="0.35">
      <c r="A224" s="2" t="s">
        <v>2149</v>
      </c>
      <c r="B224" s="2" t="str">
        <f ca="1">IF(A220=1,"movements in the commodity price have modest effect on the overall outcome","movements in the commodity price almost totally determine the outcome")</f>
        <v>movements in the commodity price almost totally determine the outcome</v>
      </c>
    </row>
    <row r="225" spans="1:4" x14ac:dyDescent="0.35">
      <c r="A225" s="2" t="s">
        <v>2150</v>
      </c>
      <c r="B225" s="2" t="str">
        <f ca="1">IF(A220=0,"whether the futures contract turns a profit or a loss is largely irrelevant to the overall outcome","the outcome depends exclusively on whether the futures contract makes a profit or a loss")</f>
        <v>whether the futures contract turns a profit or a loss is largely irrelevant to the overall outcome</v>
      </c>
    </row>
    <row r="226" spans="1:4" x14ac:dyDescent="0.35">
      <c r="A226" s="2" t="s">
        <v>2151</v>
      </c>
      <c r="B226" s="2" t="str">
        <f ca="1">IF(A220=1,"whether the futures contract turns a profit or a loss is largely irrelevant to the overall outcome","the outcome depends exclusively on whether the futures contract makes a profit or a loss")</f>
        <v>the outcome depends exclusively on whether the futures contract makes a profit or a loss</v>
      </c>
    </row>
    <row r="227" spans="1:4" ht="16" thickBot="1" x14ac:dyDescent="0.4"/>
    <row r="228" spans="1:4" ht="16.5" thickTop="1" thickBot="1" x14ac:dyDescent="0.4">
      <c r="B228" s="76" t="str">
        <f ca="1">[1]!alpha_ans($C$228)</f>
        <v>D</v>
      </c>
      <c r="C228" s="79" t="str">
        <f ca="1" xml:space="preserve"> "/\" &amp;RANDBETWEEN( 1,5) &amp; "/\" &amp;RANDBETWEEN( 1,3) &amp; "/\" &amp;RANDBETWEEN( 1,2) &amp; "/\" &amp;B221 &amp; "/\" &amp; B222 &amp; "/\" &amp; B223 &amp; "/\" &amp; B224 &amp; "/\" &amp; B225 &amp; "/\" &amp; B226</f>
        <v>/\4/\2/\2/\they expect or already have a position in the underlying commodity/\the type of commodity covered by the contract is almost irrelevant/\movements in the commodity price have modest effect on the overall outcome/\movements in the commodity price almost totally determine the outcome/\whether the futures contract turns a profit or a loss is largely irrelevant to the overall outcome/\the outcome depends exclusively on whether the futures contract makes a profit or a loss</v>
      </c>
      <c r="D228" s="80" t="s">
        <v>2152</v>
      </c>
    </row>
    <row r="229" spans="1:4" ht="16" thickTop="1" x14ac:dyDescent="0.35">
      <c r="B229" s="81" t="str">
        <f ca="1">[1]!complexV_A($C$228)</f>
        <v>they expect or already have a position in the underlying commodity</v>
      </c>
      <c r="C229" s="82"/>
      <c r="D229" s="77"/>
    </row>
    <row r="230" spans="1:4" x14ac:dyDescent="0.35">
      <c r="B230" s="81" t="str">
        <f ca="1">[1]!complexV_B($C$228)</f>
        <v>movements in the commodity price almost totally determine the outcome</v>
      </c>
      <c r="C230" s="82"/>
      <c r="D230" s="77"/>
    </row>
    <row r="231" spans="1:4" x14ac:dyDescent="0.35">
      <c r="B231" s="81" t="str">
        <f ca="1">[1]!complexV_C($C$228)</f>
        <v>whether the futures contract turns a profit or a loss is largely irrelevant to the overall outcome</v>
      </c>
      <c r="C231" s="82"/>
      <c r="D231" s="77"/>
    </row>
    <row r="232" spans="1:4" x14ac:dyDescent="0.35">
      <c r="B232" s="81" t="str">
        <f ca="1">[1]!complexV_D($C$228)</f>
        <v>Two choices, A and C, are correct</v>
      </c>
      <c r="C232" s="82"/>
      <c r="D232" s="77"/>
    </row>
    <row r="233" spans="1:4" ht="16" thickBot="1" x14ac:dyDescent="0.4">
      <c r="B233" s="83" t="str">
        <f ca="1">[1]!complexV_E($C$228)</f>
        <v>None of the A-B-C choices are correct</v>
      </c>
      <c r="C233" s="84"/>
      <c r="D233" s="78"/>
    </row>
    <row r="234" spans="1:4" ht="16" thickTop="1" x14ac:dyDescent="0.35"/>
    <row r="236" spans="1:4" x14ac:dyDescent="0.35">
      <c r="A236" s="88" t="s">
        <v>1638</v>
      </c>
    </row>
    <row r="237" spans="1:4" x14ac:dyDescent="0.35">
      <c r="A237" s="2" t="s">
        <v>2146</v>
      </c>
      <c r="B237" s="2" t="s">
        <v>1995</v>
      </c>
    </row>
    <row r="238" spans="1:4" x14ac:dyDescent="0.35">
      <c r="A238" s="2" t="s">
        <v>2147</v>
      </c>
      <c r="B238" s="2" t="s">
        <v>306</v>
      </c>
    </row>
    <row r="239" spans="1:4" x14ac:dyDescent="0.35">
      <c r="A239" s="2" t="s">
        <v>2148</v>
      </c>
      <c r="B239" s="2" t="s">
        <v>307</v>
      </c>
    </row>
    <row r="240" spans="1:4" x14ac:dyDescent="0.35">
      <c r="A240" s="2" t="s">
        <v>2149</v>
      </c>
      <c r="B240" s="2" t="s">
        <v>308</v>
      </c>
    </row>
    <row r="241" spans="1:4" x14ac:dyDescent="0.35">
      <c r="A241" s="2" t="s">
        <v>2150</v>
      </c>
      <c r="B241" s="2" t="s">
        <v>2741</v>
      </c>
    </row>
    <row r="242" spans="1:4" x14ac:dyDescent="0.35">
      <c r="A242" s="2" t="s">
        <v>2151</v>
      </c>
      <c r="B242" s="2" t="s">
        <v>246</v>
      </c>
    </row>
    <row r="243" spans="1:4" ht="16" thickBot="1" x14ac:dyDescent="0.4"/>
    <row r="244" spans="1:4" ht="16.5" thickTop="1" thickBot="1" x14ac:dyDescent="0.4">
      <c r="B244" s="76" t="str">
        <f ca="1">[1]!alpha_ans($C$244)</f>
        <v>B</v>
      </c>
      <c r="C244" s="79" t="str">
        <f ca="1" xml:space="preserve"> "/\" &amp;RANDBETWEEN( 1,5) &amp; "/\" &amp;RANDBETWEEN( 1,3) &amp; "/\" &amp;RANDBETWEEN( 1,2) &amp; "/\" &amp;B237 &amp; "/\" &amp; B238 &amp; "/\" &amp; B239 &amp; "/\" &amp; B240 &amp; "/\" &amp; B241 &amp; "/\" &amp; B242</f>
        <v>/\2/\3/\2/\The Bretton Woods System was an agreement among the world’s nations that regulated fixed exchange rates and was abandoned in 1972/\The Bretton Woods System was an agreement among the world’s nations that allowed for floating exchange rates and was established in 1972/\With a fixed exchange rate system one government declares the exchange rate by which its sovereign currency converts into other currencies/\With a floating exchange rate system one government declares the exchange rate by which its sovereign currency converts into other currencies/\With a floating exchange rate system market supply and demand forces determine the exchange rate by which one currency converts into other currencies/\With a fixed exchange rate system market supply and demand forces determine the exchange rate by which one currency converts into other currencies</v>
      </c>
      <c r="D244" s="80" t="s">
        <v>247</v>
      </c>
    </row>
    <row r="245" spans="1:4" ht="16" thickTop="1" x14ac:dyDescent="0.35">
      <c r="B245" s="81" t="str">
        <f ca="1">[1]!complexV_A($C$244)</f>
        <v>The Bretton Woods System was an agreement among the world’s nations that allowed for floating exchange rates and was established in 1972</v>
      </c>
      <c r="C245" s="82"/>
      <c r="D245" s="77"/>
    </row>
    <row r="246" spans="1:4" x14ac:dyDescent="0.35">
      <c r="B246" s="81" t="str">
        <f ca="1">[1]!complexV_B($C$244)</f>
        <v>With a fixed exchange rate system one government declares the exchange rate by which its sovereign currency converts into other currencies</v>
      </c>
      <c r="C246" s="82"/>
      <c r="D246" s="77"/>
    </row>
    <row r="247" spans="1:4" x14ac:dyDescent="0.35">
      <c r="B247" s="81" t="str">
        <f ca="1">[1]!complexV_C($C$244)</f>
        <v>With a fixed exchange rate system market supply and demand forces determine the exchange rate by which one currency converts into other currencies</v>
      </c>
      <c r="C247" s="82"/>
      <c r="D247" s="77"/>
    </row>
    <row r="248" spans="1:4" x14ac:dyDescent="0.35">
      <c r="B248" s="81" t="str">
        <f ca="1">[1]!complexV_D($C$244)</f>
        <v>Two choices, B and C, are correct</v>
      </c>
      <c r="C248" s="82"/>
      <c r="D248" s="77"/>
    </row>
    <row r="249" spans="1:4" ht="16" thickBot="1" x14ac:dyDescent="0.4">
      <c r="B249" s="83" t="str">
        <f ca="1">[1]!complexV_E($C$244)</f>
        <v>None of the A-B-C choices are correct</v>
      </c>
      <c r="C249" s="84"/>
      <c r="D249" s="78"/>
    </row>
    <row r="250" spans="1:4" ht="16" thickTop="1" x14ac:dyDescent="0.35"/>
    <row r="252" spans="1:4" ht="16" thickBot="1" x14ac:dyDescent="0.4">
      <c r="A252" s="88" t="s">
        <v>1502</v>
      </c>
    </row>
    <row r="253" spans="1:4" ht="16.5" thickTop="1" thickBot="1" x14ac:dyDescent="0.4">
      <c r="B253" s="76" t="str">
        <f ca="1">[1]!std_ans($C$253)</f>
        <v>A</v>
      </c>
      <c r="C253" s="79" t="str">
        <f ca="1" xml:space="preserve"> "/\" &amp;RANDBETWEEN( 1,120) &amp; "/\" &amp; "exclusively to capitalists" &amp; "/\" &amp; "exclusively to labor" &amp; "/\" &amp; "exclusively to management" &amp; "/\" &amp; "exclusively to creditors" &amp; "/\" &amp; "equally between all capitalists and stakeholders"</f>
        <v>/\19/\exclusively to capitalists/\exclusively to labor/\exclusively to management/\exclusively to creditors/\equally between all capitalists and stakeholders</v>
      </c>
      <c r="D253" s="80" t="s">
        <v>1503</v>
      </c>
    </row>
    <row r="254" spans="1:4" ht="16" thickTop="1" x14ac:dyDescent="0.35">
      <c r="B254" s="81" t="str">
        <f ca="1">[1]!simpleV_A($C$253)</f>
        <v>exclusively to capitalists</v>
      </c>
      <c r="C254" s="82"/>
      <c r="D254" s="77"/>
    </row>
    <row r="255" spans="1:4" x14ac:dyDescent="0.35">
      <c r="B255" s="81" t="str">
        <f ca="1">[1]!simpleV_B($C$253)</f>
        <v>equally between all capitalists and stakeholders</v>
      </c>
      <c r="C255" s="82"/>
      <c r="D255" s="77"/>
    </row>
    <row r="256" spans="1:4" x14ac:dyDescent="0.35">
      <c r="B256" s="81" t="str">
        <f ca="1">[1]!simpleV_C($C$253)</f>
        <v>exclusively to labor</v>
      </c>
      <c r="C256" s="82"/>
      <c r="D256" s="77"/>
    </row>
    <row r="257" spans="1:7" x14ac:dyDescent="0.35">
      <c r="B257" s="81" t="str">
        <f ca="1">[1]!simpleV_D($C$253)</f>
        <v>exclusively to management</v>
      </c>
      <c r="C257" s="82"/>
      <c r="D257" s="77"/>
    </row>
    <row r="258" spans="1:7" ht="16" thickBot="1" x14ac:dyDescent="0.4">
      <c r="B258" s="83" t="str">
        <f ca="1">[1]!simpleV_E($C$253)</f>
        <v>exclusively to creditors</v>
      </c>
      <c r="C258" s="84"/>
      <c r="D258" s="78"/>
    </row>
    <row r="259" spans="1:7" ht="16" thickTop="1" x14ac:dyDescent="0.35"/>
    <row r="261" spans="1:7" ht="16" thickBot="1" x14ac:dyDescent="0.4">
      <c r="A261" s="88" t="s">
        <v>3004</v>
      </c>
    </row>
    <row r="262" spans="1:7" ht="16.5" thickTop="1" thickBot="1" x14ac:dyDescent="0.4">
      <c r="B262" s="76" t="str">
        <f ca="1">[1]!std_ans($C$262)</f>
        <v>D</v>
      </c>
      <c r="C262" s="386" t="str">
        <f ca="1" xml:space="preserve"> "/\" &amp;RANDBETWEEN( 1,120) &amp; "/\" &amp; G263 &amp; "/\" &amp; G264 &amp; "/\" &amp; G265 &amp; "/\" &amp; G266 &amp; "/\" &amp; G267</f>
        <v>/\81/\time value, transformation value, and arbitrage/\financial accounting, risk &amp; insurance, and real estate/\arbitrage, hedging, and speculating/\investments, corporate finance, and institutions/\time value, investments, and financial planning</v>
      </c>
      <c r="D262" s="80" t="s">
        <v>3005</v>
      </c>
    </row>
    <row r="263" spans="1:7" ht="16" thickTop="1" x14ac:dyDescent="0.35">
      <c r="B263" s="81" t="str">
        <f ca="1">[1]!simpleV_A($C$262)</f>
        <v>investments, corporate finance, and institutions</v>
      </c>
      <c r="C263" s="82"/>
      <c r="D263" s="77"/>
      <c r="G263" s="2" t="s">
        <v>1544</v>
      </c>
    </row>
    <row r="264" spans="1:7" x14ac:dyDescent="0.35">
      <c r="B264" s="81" t="str">
        <f ca="1">[1]!simpleV_B($C$262)</f>
        <v>financial accounting, risk &amp; insurance, and real estate</v>
      </c>
      <c r="C264" s="82"/>
      <c r="D264" s="77"/>
      <c r="G264" s="2" t="s">
        <v>1545</v>
      </c>
    </row>
    <row r="265" spans="1:7" x14ac:dyDescent="0.35">
      <c r="B265" s="81" t="str">
        <f ca="1">[1]!simpleV_C($C$262)</f>
        <v>arbitrage, hedging, and speculating</v>
      </c>
      <c r="C265" s="82"/>
      <c r="D265" s="77"/>
      <c r="G265" s="2" t="s">
        <v>1546</v>
      </c>
    </row>
    <row r="266" spans="1:7" x14ac:dyDescent="0.35">
      <c r="B266" s="81" t="str">
        <f ca="1">[1]!simpleV_D($C$262)</f>
        <v>time value, transformation value, and arbitrage</v>
      </c>
      <c r="C266" s="82"/>
      <c r="D266" s="77"/>
      <c r="G266" s="2" t="s">
        <v>1547</v>
      </c>
    </row>
    <row r="267" spans="1:7" ht="16" thickBot="1" x14ac:dyDescent="0.4">
      <c r="B267" s="83" t="str">
        <f ca="1">[1]!simpleV_E($C$262)</f>
        <v>time value, investments, and financial planning</v>
      </c>
      <c r="C267" s="84"/>
      <c r="D267" s="78"/>
      <c r="G267" s="2" t="s">
        <v>1548</v>
      </c>
    </row>
    <row r="268" spans="1:7" ht="16" thickTop="1" x14ac:dyDescent="0.35"/>
    <row r="270" spans="1:7" ht="16" thickBot="1" x14ac:dyDescent="0.4">
      <c r="A270" s="88" t="s">
        <v>3006</v>
      </c>
    </row>
    <row r="271" spans="1:7" ht="16.5" thickTop="1" thickBot="1" x14ac:dyDescent="0.4">
      <c r="B271" s="76" t="str">
        <f ca="1">[1]!std_ans($C$271)</f>
        <v>E</v>
      </c>
      <c r="C271" s="79" t="str">
        <f ca="1" xml:space="preserve"> "/\" &amp;RANDBETWEEN( 1,120) &amp; "/\" &amp; "corporate finance, investments, and markets &amp; institutions" &amp; "/\" &amp; "balance sheet analysis, income statement analysis, and cash flow analysis" &amp; "/\" &amp; "valuation, cash flow analysis, and security markets" &amp; "/\" &amp; "banking, insurance, and real estate" &amp; "/\" &amp; "stocks, bonds, and options"</f>
        <v>/\40/\corporate finance, investments, and markets &amp; institutions/\balance sheet analysis, income statement analysis, and cash flow analysis/\valuation, cash flow analysis, and security markets/\banking, insurance, and real estate/\stocks, bonds, and options</v>
      </c>
      <c r="D271" s="80" t="s">
        <v>2200</v>
      </c>
    </row>
    <row r="272" spans="1:7" ht="16" thickTop="1" x14ac:dyDescent="0.35">
      <c r="B272" s="81" t="str">
        <f ca="1">[1]!simpleV_A($C$271)</f>
        <v>balance sheet analysis, income statement analysis, and cash flow analysis</v>
      </c>
      <c r="C272" s="82"/>
      <c r="D272" s="77"/>
    </row>
    <row r="273" spans="1:4" x14ac:dyDescent="0.35">
      <c r="B273" s="81" t="str">
        <f ca="1">[1]!simpleV_B($C$271)</f>
        <v>banking, insurance, and real estate</v>
      </c>
      <c r="C273" s="82"/>
      <c r="D273" s="77"/>
    </row>
    <row r="274" spans="1:4" x14ac:dyDescent="0.35">
      <c r="B274" s="81" t="str">
        <f ca="1">[1]!simpleV_C($C$271)</f>
        <v>valuation, cash flow analysis, and security markets</v>
      </c>
      <c r="C274" s="82"/>
      <c r="D274" s="77"/>
    </row>
    <row r="275" spans="1:4" x14ac:dyDescent="0.35">
      <c r="B275" s="81" t="str">
        <f ca="1">[1]!simpleV_D($C$271)</f>
        <v>stocks, bonds, and options</v>
      </c>
      <c r="C275" s="82"/>
      <c r="D275" s="77"/>
    </row>
    <row r="276" spans="1:4" ht="16" thickBot="1" x14ac:dyDescent="0.4">
      <c r="B276" s="83" t="str">
        <f ca="1">[1]!simpleV_E($C$271)</f>
        <v>corporate finance, investments, and markets &amp; institutions</v>
      </c>
      <c r="C276" s="84"/>
      <c r="D276" s="78"/>
    </row>
    <row r="277" spans="1:4" ht="16" thickTop="1" x14ac:dyDescent="0.35"/>
    <row r="279" spans="1:4" ht="16" thickBot="1" x14ac:dyDescent="0.4">
      <c r="A279" s="88" t="s">
        <v>973</v>
      </c>
    </row>
    <row r="280" spans="1:4" ht="16.5" thickTop="1" thickBot="1" x14ac:dyDescent="0.4">
      <c r="B280" s="76" t="str">
        <f ca="1">[1]!alpha_ans($C$280)</f>
        <v>B</v>
      </c>
      <c r="C280" s="79" t="str">
        <f ca="1" xml:space="preserve"> "/\" &amp;RANDBETWEEN( 1,5) &amp; "/\" &amp;RANDBETWEEN( 1,3) &amp; "/\" &amp;RANDBETWEEN( 1,2) &amp; "/\" &amp;"shareholders are principals, management is the agent, and the contested wealth is equity" &amp; "/\" &amp; "management is the principal, shareholders are the agents, and the contested wealth is equity" &amp; "/\" &amp; "creditor/bondholders are the principals, management/shareholders are the agents, and the contested wealth is loans and debt" &amp; "/\" &amp; "management/shareholders are the principals, creditor/bondholders are the agents, and the contested wealth is loans and debt" &amp; "/\" &amp; "employees are the principals, management/shareholders are the agents, and the contested wealth is pension contributions" &amp; "/\" &amp; "management/shareholders are the principals, employees are the agents, and the contested wealth is pension contributions"</f>
        <v>/\2/\2/\1/\shareholders are principals, management is the agent, and the contested wealth is equity/\management is the principal, shareholders are the agents, and the contested wealth is equity/\creditor/bondholders are the principals, management/shareholders are the agents, and the contested wealth is loans and debt/\management/shareholders are the principals, creditor/bondholders are the agents, and the contested wealth is loans and debt/\employees are the principals, management/shareholders are the agents, and the contested wealth is pension contributions/\management/shareholders are the principals, employees are the agents, and the contested wealth is pension contributions</v>
      </c>
      <c r="D280" s="80" t="s">
        <v>974</v>
      </c>
    </row>
    <row r="281" spans="1:4" ht="16" thickTop="1" x14ac:dyDescent="0.35">
      <c r="B281" s="81" t="str">
        <f ca="1">[1]!complexV_A($C$280)</f>
        <v>management is the principal, shareholders are the agents, and the contested wealth is equity</v>
      </c>
      <c r="C281" s="82"/>
      <c r="D281" s="77"/>
    </row>
    <row r="282" spans="1:4" x14ac:dyDescent="0.35">
      <c r="B282" s="81" t="str">
        <f ca="1">[1]!complexV_B($C$280)</f>
        <v>creditor/bondholders are the principals, management/shareholders are the agents, and the contested wealth is loans and debt</v>
      </c>
      <c r="C282" s="82"/>
      <c r="D282" s="77"/>
    </row>
    <row r="283" spans="1:4" x14ac:dyDescent="0.35">
      <c r="B283" s="81" t="str">
        <f ca="1">[1]!complexV_C($C$280)</f>
        <v>management/shareholders are the principals, employees are the agents, and the contested wealth is pension contributions</v>
      </c>
      <c r="C283" s="82"/>
      <c r="D283" s="77"/>
    </row>
    <row r="284" spans="1:4" x14ac:dyDescent="0.35">
      <c r="B284" s="81" t="str">
        <f ca="1">[1]!complexV_D($C$280)</f>
        <v>Two choices, A and C, are correct</v>
      </c>
      <c r="C284" s="82"/>
      <c r="D284" s="77"/>
    </row>
    <row r="285" spans="1:4" ht="16" thickBot="1" x14ac:dyDescent="0.4">
      <c r="B285" s="83" t="str">
        <f ca="1">[1]!complexV_E($C$280)</f>
        <v>The three A-B-C choices are all correct</v>
      </c>
      <c r="C285" s="84"/>
      <c r="D285" s="78"/>
    </row>
    <row r="286" spans="1:4" ht="16" thickTop="1" x14ac:dyDescent="0.35"/>
    <row r="288" spans="1:4" ht="16" thickBot="1" x14ac:dyDescent="0.4">
      <c r="A288" s="88" t="s">
        <v>2260</v>
      </c>
    </row>
    <row r="289" spans="1:4" ht="16.5" thickTop="1" thickBot="1" x14ac:dyDescent="0.4">
      <c r="B289" s="76" t="str">
        <f ca="1">[1]!std_ans($C$289)</f>
        <v>C</v>
      </c>
      <c r="C289" s="79" t="str">
        <f ca="1" xml:space="preserve"> "/\" &amp;RANDBETWEEN( 1,120) &amp; "/\" &amp; "costs incurred in order to make management work towards the shareholder's best interests." &amp; "/\" &amp; "costs arising from losses from risky investments that managers make on behalf of shareholders" &amp; "/\" &amp; "wages paid to make employees work toward the bests interests of the firm" &amp; "/\" &amp; "costs paid to be in compliance with regulations of federal agencies " &amp; "/\" &amp; "costs incurred because agents such as investment bankers must be hired to sell new equity issues."</f>
        <v>/\79/\costs incurred in order to make management work towards the shareholder's best interests./\costs arising from losses from risky investments that managers make on behalf of shareholders/\wages paid to make employees work toward the bests interests of the firm/\costs paid to be in compliance with regulations of federal agencies /\costs incurred because agents such as investment bankers must be hired to sell new equity issues.</v>
      </c>
      <c r="D289" s="80" t="s">
        <v>2261</v>
      </c>
    </row>
    <row r="290" spans="1:4" ht="16" thickTop="1" x14ac:dyDescent="0.35">
      <c r="B290" s="81" t="str">
        <f ca="1">[1]!simpleV_A($C$289)</f>
        <v xml:space="preserve">costs paid to be in compliance with regulations of federal agencies </v>
      </c>
      <c r="C290" s="82"/>
      <c r="D290" s="77"/>
    </row>
    <row r="291" spans="1:4" x14ac:dyDescent="0.35">
      <c r="B291" s="81" t="str">
        <f ca="1">[1]!simpleV_B($C$289)</f>
        <v>costs arising from losses from risky investments that managers make on behalf of shareholders</v>
      </c>
      <c r="C291" s="82"/>
      <c r="D291" s="77"/>
    </row>
    <row r="292" spans="1:4" x14ac:dyDescent="0.35">
      <c r="B292" s="81" t="str">
        <f ca="1">[1]!simpleV_C($C$289)</f>
        <v>costs incurred in order to make management work towards the shareholder's best interests.</v>
      </c>
      <c r="C292" s="82"/>
      <c r="D292" s="77"/>
    </row>
    <row r="293" spans="1:4" x14ac:dyDescent="0.35">
      <c r="B293" s="81" t="str">
        <f ca="1">[1]!simpleV_D($C$289)</f>
        <v>wages paid to make employees work toward the bests interests of the firm</v>
      </c>
      <c r="C293" s="82"/>
      <c r="D293" s="77"/>
    </row>
    <row r="294" spans="1:4" ht="16" thickBot="1" x14ac:dyDescent="0.4">
      <c r="B294" s="83" t="str">
        <f ca="1">[1]!simpleV_E($C$289)</f>
        <v>costs incurred because agents such as investment bankers must be hired to sell new equity issues.</v>
      </c>
      <c r="C294" s="84"/>
      <c r="D294" s="78"/>
    </row>
    <row r="295" spans="1:4" ht="16" thickTop="1" x14ac:dyDescent="0.35"/>
    <row r="297" spans="1:4" ht="16" thickBot="1" x14ac:dyDescent="0.4">
      <c r="A297" s="88" t="s">
        <v>2172</v>
      </c>
    </row>
    <row r="298" spans="1:4" ht="16.5" thickTop="1" thickBot="1" x14ac:dyDescent="0.4">
      <c r="B298" s="76" t="str">
        <f ca="1">[1]!std_ans($C$298)</f>
        <v>B</v>
      </c>
      <c r="C298" s="79" t="str">
        <f ca="1" xml:space="preserve"> "/\" &amp;RANDBETWEEN( 1,120) &amp; "/\" &amp; "a leveraged buyout of shares by managers" &amp; "/\" &amp; " threat of corporate take-over by raiders" &amp; "/\" &amp; "concentration of equity ownership by institutional investors" &amp; "/\" &amp; "management contracts that link compensation to the shareprice" &amp; "/\" &amp; "threat of firing by Board of Directors"</f>
        <v>/\78/\a leveraged buyout of shares by managers/\ threat of corporate take-over by raiders/\concentration of equity ownership by institutional investors/\management contracts that link compensation to the shareprice/\threat of firing by Board of Directors</v>
      </c>
      <c r="D298" s="80" t="s">
        <v>2173</v>
      </c>
    </row>
    <row r="299" spans="1:4" ht="16" thickTop="1" x14ac:dyDescent="0.35">
      <c r="B299" s="81" t="str">
        <f ca="1">[1]!simpleV_A($C$298)</f>
        <v>management contracts that link compensation to the shareprice</v>
      </c>
      <c r="C299" s="82"/>
      <c r="D299" s="77"/>
    </row>
    <row r="300" spans="1:4" x14ac:dyDescent="0.35">
      <c r="B300" s="81" t="str">
        <f ca="1">[1]!simpleV_B($C$298)</f>
        <v>a leveraged buyout of shares by managers</v>
      </c>
      <c r="C300" s="82"/>
      <c r="D300" s="77"/>
    </row>
    <row r="301" spans="1:4" x14ac:dyDescent="0.35">
      <c r="B301" s="81" t="str">
        <f ca="1">[1]!simpleV_C($C$298)</f>
        <v>threat of firing by Board of Directors</v>
      </c>
      <c r="C301" s="82"/>
      <c r="D301" s="77"/>
    </row>
    <row r="302" spans="1:4" x14ac:dyDescent="0.35">
      <c r="B302" s="81" t="str">
        <f ca="1">[1]!simpleV_D($C$298)</f>
        <v>concentration of equity ownership by institutional investors</v>
      </c>
      <c r="C302" s="82"/>
      <c r="D302" s="77"/>
    </row>
    <row r="303" spans="1:4" ht="16" thickBot="1" x14ac:dyDescent="0.4">
      <c r="B303" s="83" t="str">
        <f ca="1">[1]!simpleV_E($C$298)</f>
        <v xml:space="preserve"> threat of corporate take-over by raiders</v>
      </c>
      <c r="C303" s="84"/>
      <c r="D303" s="78"/>
    </row>
    <row r="304" spans="1:4" ht="16" thickTop="1" x14ac:dyDescent="0.35"/>
    <row r="306" spans="1:4" ht="16" thickBot="1" x14ac:dyDescent="0.4">
      <c r="A306" s="88" t="s">
        <v>1026</v>
      </c>
    </row>
    <row r="307" spans="1:4" ht="16.5" thickTop="1" thickBot="1" x14ac:dyDescent="0.4">
      <c r="B307" s="76" t="str">
        <f ca="1">[1]!std_ans($C$307)</f>
        <v>A</v>
      </c>
      <c r="C307" s="79" t="str">
        <f ca="1" xml:space="preserve"> "/\" &amp;RANDBETWEEN( 1,120) &amp; "/\" &amp; "The approximate number of years required for a deposit to double equals 72 divided by the percentage interest rate." &amp; "/\" &amp; "The simple sum of cash flows required for an investment to earn a positive rate of return equals the investment cost times 72." &amp; "/\" &amp; "The simple sum of cash flows required for an investment to earn a positive rate of return equals the investment cost divided by 72." &amp; "/\" &amp; "The number of months required for a deposit to double equals the decimal interest rate divided by 72." &amp; "/\" &amp; "The number of months required for a deposit to double equals the decimal interest rate times 72."</f>
        <v>/\3/\The approximate number of years required for a deposit to double equals 72 divided by the percentage interest rate./\The simple sum of cash flows required for an investment to earn a positive rate of return equals the investment cost times 72./\The simple sum of cash flows required for an investment to earn a positive rate of return equals the investment cost divided by 72./\The number of months required for a deposit to double equals the decimal interest rate divided by 72./\The number of months required for a deposit to double equals the decimal interest rate times 72.</v>
      </c>
      <c r="D307" s="80" t="s">
        <v>449</v>
      </c>
    </row>
    <row r="308" spans="1:4" ht="16" thickTop="1" x14ac:dyDescent="0.35">
      <c r="B308" s="81" t="str">
        <f ca="1">[1]!simpleV_A($C$307)</f>
        <v>The approximate number of years required for a deposit to double equals 72 divided by the percentage interest rate.</v>
      </c>
      <c r="C308" s="82"/>
      <c r="D308" s="77"/>
    </row>
    <row r="309" spans="1:4" x14ac:dyDescent="0.35">
      <c r="B309" s="81" t="str">
        <f ca="1">[1]!simpleV_B($C$307)</f>
        <v>The simple sum of cash flows required for an investment to earn a positive rate of return equals the investment cost times 72.</v>
      </c>
      <c r="C309" s="82"/>
      <c r="D309" s="77"/>
    </row>
    <row r="310" spans="1:4" x14ac:dyDescent="0.35">
      <c r="B310" s="81" t="str">
        <f ca="1">[1]!simpleV_C($C$307)</f>
        <v>The number of months required for a deposit to double equals the decimal interest rate divided by 72.</v>
      </c>
      <c r="C310" s="82"/>
      <c r="D310" s="77"/>
    </row>
    <row r="311" spans="1:4" x14ac:dyDescent="0.35">
      <c r="B311" s="81" t="str">
        <f ca="1">[1]!simpleV_D($C$307)</f>
        <v>The simple sum of cash flows required for an investment to earn a positive rate of return equals the investment cost divided by 72.</v>
      </c>
      <c r="C311" s="82"/>
      <c r="D311" s="77"/>
    </row>
    <row r="312" spans="1:4" ht="16" thickBot="1" x14ac:dyDescent="0.4">
      <c r="B312" s="83" t="str">
        <f ca="1">[1]!simpleV_E($C$307)</f>
        <v>The number of months required for a deposit to double equals the decimal interest rate times 72.</v>
      </c>
      <c r="C312" s="84"/>
      <c r="D312" s="78"/>
    </row>
    <row r="313" spans="1:4" ht="16" thickTop="1" x14ac:dyDescent="0.35"/>
    <row r="315" spans="1:4" ht="16" thickBot="1" x14ac:dyDescent="0.4">
      <c r="A315" s="88" t="s">
        <v>450</v>
      </c>
    </row>
    <row r="316" spans="1:4" ht="16.5" thickTop="1" thickBot="1" x14ac:dyDescent="0.4">
      <c r="B316" s="76" t="str">
        <f ca="1">[1]!std_ans($C$316)</f>
        <v>E</v>
      </c>
      <c r="C316" s="79" t="str">
        <f ca="1" xml:space="preserve"> "/\" &amp;RANDBETWEEN( 1,120) &amp; "/\" &amp; "raider company shareholders generally lose wealth and target company shareholders gain wealth" &amp; "/\" &amp; "there are no wealth transfers and so each shareholders’ wealth is unchanged" &amp; "/\" &amp; "raider company shareholders generally gain wealth and target company shareholders lose wealth" &amp; "/\" &amp; "raider company shareholders generally lose wealth and target company shareholders lose wealth" &amp; "/\" &amp; "raider company shareholders generally gain wealth and target company shareholders gain wealth"</f>
        <v>/\94/\raider company shareholders generally lose wealth and target company shareholders gain wealth/\there are no wealth transfers and so each shareholders’ wealth is unchanged/\raider company shareholders generally gain wealth and target company shareholders lose wealth/\raider company shareholders generally lose wealth and target company shareholders lose wealth/\raider company shareholders generally gain wealth and target company shareholders gain wealth</v>
      </c>
      <c r="D316" s="80" t="s">
        <v>451</v>
      </c>
    </row>
    <row r="317" spans="1:4" ht="16" thickTop="1" x14ac:dyDescent="0.35">
      <c r="B317" s="81" t="str">
        <f ca="1">[1]!simpleV_A($C$316)</f>
        <v>raider company shareholders generally lose wealth and target company shareholders lose wealth</v>
      </c>
      <c r="C317" s="82"/>
      <c r="D317" s="77"/>
    </row>
    <row r="318" spans="1:4" x14ac:dyDescent="0.35">
      <c r="B318" s="81" t="str">
        <f ca="1">[1]!simpleV_B($C$316)</f>
        <v>raider company shareholders generally gain wealth and target company shareholders gain wealth</v>
      </c>
      <c r="C318" s="82"/>
      <c r="D318" s="77"/>
    </row>
    <row r="319" spans="1:4" x14ac:dyDescent="0.35">
      <c r="B319" s="81" t="str">
        <f ca="1">[1]!simpleV_C($C$316)</f>
        <v>there are no wealth transfers and so each shareholders’ wealth is unchanged</v>
      </c>
      <c r="C319" s="82"/>
      <c r="D319" s="77"/>
    </row>
    <row r="320" spans="1:4" x14ac:dyDescent="0.35">
      <c r="B320" s="81" t="str">
        <f ca="1">[1]!simpleV_D($C$316)</f>
        <v>raider company shareholders generally gain wealth and target company shareholders lose wealth</v>
      </c>
      <c r="C320" s="82"/>
      <c r="D320" s="77"/>
    </row>
    <row r="321" spans="1:7" ht="16" thickBot="1" x14ac:dyDescent="0.4">
      <c r="B321" s="83" t="str">
        <f ca="1">[1]!simpleV_E($C$316)</f>
        <v>raider company shareholders generally lose wealth and target company shareholders gain wealth</v>
      </c>
      <c r="C321" s="84"/>
      <c r="D321" s="78"/>
    </row>
    <row r="322" spans="1:7" ht="16" thickTop="1" x14ac:dyDescent="0.35"/>
    <row r="324" spans="1:7" ht="16" thickBot="1" x14ac:dyDescent="0.4">
      <c r="A324" s="88" t="s">
        <v>452</v>
      </c>
      <c r="F324" s="6"/>
    </row>
    <row r="325" spans="1:7" ht="16.5" thickTop="1" thickBot="1" x14ac:dyDescent="0.4">
      <c r="B325" s="76" t="str">
        <f ca="1">[1]!std_ans($C$325)</f>
        <v>D</v>
      </c>
      <c r="C325" s="79" t="str">
        <f ca="1" xml:space="preserve"> "/\" &amp;RANDBETWEEN( 1,120) &amp; "/\" &amp; G326 &amp; "/\" &amp; G327 &amp; "/\" &amp; G328 &amp; "/\" &amp; G329 &amp; "/\" &amp; G330</f>
        <v>/\35/\If the price to book ratio is bigger than one, the shareholder rate of return is smaller than the return on equity./\If the price to book ratio is bigger than one, the return on equity is smaller than the shareholder rate of return./\If the price to book ratio is smaller than one, the return on equity is bigger than the shareholder rate of return./\If the price to book ratio is smaller than one, the shareholder rate of return is smaller than the return on equity./\If the shareholder rate of return is smaller than the return on equity then the price to book ratio is smaller than one.</v>
      </c>
      <c r="D325" s="80" t="s">
        <v>453</v>
      </c>
      <c r="F325" s="6"/>
    </row>
    <row r="326" spans="1:7" ht="16" thickTop="1" x14ac:dyDescent="0.35">
      <c r="B326" s="81" t="str">
        <f ca="1">[1]!simpleV_A($C$325)</f>
        <v>If the price to book ratio is bigger than one, the return on equity is smaller than the shareholder rate of return.</v>
      </c>
      <c r="C326" s="82"/>
      <c r="D326" s="77"/>
      <c r="F326" s="6" t="s">
        <v>1820</v>
      </c>
      <c r="G326" s="2" t="str">
        <f ca="1" xml:space="preserve"> CHOOSE(RANDBETWEEN(1,6),"If the price to book ratio always were to equal one, the return on equity always will equal the shareholder rate of return.","If the price to book ratio is bigger than one, the return on equity is bigger than the shareholder rate of return.","If the price to book ratio is smaller than one, the return on equity is smaller than the shareholder rate of return.","If the price to book ratio is bigger than one, the shareholder rate of return is smaller than the return on equity.","If the shareholder rate of return is smaller than the return on equity then the price to book ratio is bigger than one.","If the shareholder rate of return is bigger than the return on equity then the price to book ratio is smaller than one.")</f>
        <v>If the price to book ratio is bigger than one, the shareholder rate of return is smaller than the return on equity.</v>
      </c>
    </row>
    <row r="327" spans="1:7" x14ac:dyDescent="0.35">
      <c r="B327" s="81" t="str">
        <f ca="1">[1]!simpleV_B($C$325)</f>
        <v>If the price to book ratio is smaller than one, the return on equity is bigger than the shareholder rate of return.</v>
      </c>
      <c r="C327" s="82"/>
      <c r="D327" s="77"/>
      <c r="F327" s="6" t="s">
        <v>1816</v>
      </c>
      <c r="G327" s="2" t="s">
        <v>1821</v>
      </c>
    </row>
    <row r="328" spans="1:7" x14ac:dyDescent="0.35">
      <c r="B328" s="81" t="str">
        <f ca="1">[1]!simpleV_C($C$325)</f>
        <v>If the shareholder rate of return is smaller than the return on equity then the price to book ratio is smaller than one.</v>
      </c>
      <c r="C328" s="82"/>
      <c r="D328" s="77"/>
      <c r="F328" s="6" t="s">
        <v>1817</v>
      </c>
      <c r="G328" s="2" t="s">
        <v>1822</v>
      </c>
    </row>
    <row r="329" spans="1:7" x14ac:dyDescent="0.35">
      <c r="B329" s="81" t="str">
        <f ca="1">[1]!simpleV_D($C$325)</f>
        <v>If the price to book ratio is bigger than one, the shareholder rate of return is smaller than the return on equity.</v>
      </c>
      <c r="C329" s="82"/>
      <c r="D329" s="77"/>
      <c r="F329" s="6" t="s">
        <v>1818</v>
      </c>
      <c r="G329" s="2" t="s">
        <v>1823</v>
      </c>
    </row>
    <row r="330" spans="1:7" ht="16" thickBot="1" x14ac:dyDescent="0.4">
      <c r="B330" s="83" t="str">
        <f ca="1">[1]!simpleV_E($C$325)</f>
        <v>If the price to book ratio is smaller than one, the shareholder rate of return is smaller than the return on equity.</v>
      </c>
      <c r="C330" s="84"/>
      <c r="D330" s="78"/>
      <c r="F330" s="6" t="s">
        <v>1819</v>
      </c>
      <c r="G330" s="2" t="s">
        <v>1824</v>
      </c>
    </row>
    <row r="331" spans="1:7" ht="16" thickTop="1" x14ac:dyDescent="0.35">
      <c r="F331" s="6"/>
    </row>
    <row r="332" spans="1:7" x14ac:dyDescent="0.35">
      <c r="F332" s="6"/>
    </row>
    <row r="333" spans="1:7" ht="16" thickBot="1" x14ac:dyDescent="0.4">
      <c r="A333" s="88" t="s">
        <v>3822</v>
      </c>
      <c r="F333" s="6"/>
    </row>
    <row r="334" spans="1:7" ht="16.5" thickTop="1" thickBot="1" x14ac:dyDescent="0.4">
      <c r="B334" s="76" t="str">
        <f ca="1">[1]!std_ans($C$334)</f>
        <v>C</v>
      </c>
      <c r="C334" s="79" t="str">
        <f ca="1" xml:space="preserve"> "/\" &amp;RANDBETWEEN( 1,120) &amp; "/\" &amp; "number of shares outstanding times market price per share" &amp; "/\" &amp; "total stockholders’ equity divided by number of shares outstanding" &amp; "/\" &amp; "equity book value per share divided by market price per share" &amp; "/\" &amp; "market price per share divided by equity book value per share" &amp; "/\" &amp; "total assets divided by number of shares outstanding"</f>
        <v>/\68/\number of shares outstanding times market price per share/\total stockholders’ equity divided by number of shares outstanding/\equity book value per share divided by market price per share/\market price per share divided by equity book value per share/\total assets divided by number of shares outstanding</v>
      </c>
      <c r="D334" s="80" t="s">
        <v>3823</v>
      </c>
    </row>
    <row r="335" spans="1:7" ht="16" thickTop="1" x14ac:dyDescent="0.35">
      <c r="B335" s="81" t="str">
        <f ca="1">[1]!simpleV_A($C$334)</f>
        <v>equity book value per share divided by market price per share</v>
      </c>
      <c r="C335" s="82"/>
      <c r="D335" s="77"/>
    </row>
    <row r="336" spans="1:7" x14ac:dyDescent="0.35">
      <c r="B336" s="81" t="str">
        <f ca="1">[1]!simpleV_B($C$334)</f>
        <v>total assets divided by number of shares outstanding</v>
      </c>
      <c r="C336" s="82"/>
      <c r="D336" s="77"/>
    </row>
    <row r="337" spans="1:8" x14ac:dyDescent="0.35">
      <c r="B337" s="81" t="str">
        <f ca="1">[1]!simpleV_C($C$334)</f>
        <v>number of shares outstanding times market price per share</v>
      </c>
      <c r="C337" s="82"/>
      <c r="D337" s="77"/>
    </row>
    <row r="338" spans="1:8" x14ac:dyDescent="0.35">
      <c r="B338" s="81" t="str">
        <f ca="1">[1]!simpleV_D($C$334)</f>
        <v>market price per share divided by equity book value per share</v>
      </c>
      <c r="C338" s="82"/>
      <c r="D338" s="77"/>
    </row>
    <row r="339" spans="1:8" ht="16" thickBot="1" x14ac:dyDescent="0.4">
      <c r="B339" s="83" t="str">
        <f ca="1">[1]!simpleV_E($C$334)</f>
        <v>total stockholders’ equity divided by number of shares outstanding</v>
      </c>
      <c r="C339" s="84"/>
      <c r="D339" s="78"/>
    </row>
    <row r="340" spans="1:8" ht="16" thickTop="1" x14ac:dyDescent="0.35"/>
    <row r="342" spans="1:8" ht="16" thickBot="1" x14ac:dyDescent="0.4">
      <c r="A342" s="88" t="s">
        <v>1774</v>
      </c>
    </row>
    <row r="343" spans="1:8" ht="16.5" thickTop="1" thickBot="1" x14ac:dyDescent="0.4">
      <c r="B343" s="76" t="str">
        <f ca="1">[1]!std_ans($C$343)</f>
        <v>C</v>
      </c>
      <c r="C343" s="79" t="str">
        <f ca="1" xml:space="preserve"> "/\" &amp;RANDBETWEEN( 1,120) &amp; "/\" &amp; "Stockholders’ Equity decreases by " &amp; "/\" &amp; "Stockholders’ Equity increases by " &amp; "/\" &amp; "Total Assets decreases by " &amp; "/\" &amp; "The sum of Total Liabilities and Stockholders’ Equity decreases by " &amp; "/\" &amp; "Total Assets increases by "</f>
        <v xml:space="preserve">/\104/\Stockholders’ Equity decreases by /\Stockholders’ Equity increases by /\Total Assets decreases by /\The sum of Total Liabilities and Stockholders’ Equity decreases by /\Total Assets increases by </v>
      </c>
      <c r="D343" s="80" t="s">
        <v>614</v>
      </c>
      <c r="G343" s="20">
        <f ca="1">RANDBETWEEN(1,7)</f>
        <v>3</v>
      </c>
      <c r="H343" s="2" t="str">
        <f ca="1">CHOOSE(RANDBETWEEN(1,3),"ATT","IBM","UPS")</f>
        <v>UPS</v>
      </c>
    </row>
    <row r="344" spans="1:8" ht="16" thickTop="1" x14ac:dyDescent="0.35">
      <c r="B344" s="81" t="str">
        <f ca="1">[1]!simpleV_A($C$343)</f>
        <v xml:space="preserve">Total Assets increases by </v>
      </c>
      <c r="C344" s="82"/>
      <c r="D344" s="77"/>
    </row>
    <row r="345" spans="1:8" x14ac:dyDescent="0.35">
      <c r="B345" s="81" t="str">
        <f ca="1">[1]!simpleV_B($C$343)</f>
        <v xml:space="preserve">Stockholders’ Equity increases by </v>
      </c>
      <c r="C345" s="82"/>
      <c r="D345" s="77"/>
    </row>
    <row r="346" spans="1:8" x14ac:dyDescent="0.35">
      <c r="B346" s="81" t="str">
        <f ca="1">[1]!simpleV_C($C$343)</f>
        <v xml:space="preserve">Stockholders’ Equity decreases by </v>
      </c>
      <c r="C346" s="82"/>
      <c r="D346" s="77"/>
    </row>
    <row r="347" spans="1:8" x14ac:dyDescent="0.35">
      <c r="B347" s="81" t="str">
        <f ca="1">[1]!simpleV_D($C$343)</f>
        <v xml:space="preserve">The sum of Total Liabilities and Stockholders’ Equity decreases by </v>
      </c>
      <c r="C347" s="82"/>
      <c r="D347" s="77"/>
    </row>
    <row r="348" spans="1:8" ht="16" thickBot="1" x14ac:dyDescent="0.4">
      <c r="B348" s="83" t="str">
        <f ca="1">[1]!simpleV_E($C$343)</f>
        <v xml:space="preserve">Total Assets decreases by </v>
      </c>
      <c r="C348" s="84"/>
      <c r="D348" s="78"/>
    </row>
    <row r="349" spans="1:8" ht="16" thickTop="1" x14ac:dyDescent="0.35"/>
    <row r="351" spans="1:8" ht="16" thickBot="1" x14ac:dyDescent="0.4">
      <c r="A351" s="88" t="s">
        <v>615</v>
      </c>
    </row>
    <row r="352" spans="1:8" ht="16.5" thickTop="1" thickBot="1" x14ac:dyDescent="0.4">
      <c r="B352" s="76" t="str">
        <f ca="1">[1]!std_ans($C$352)</f>
        <v>B</v>
      </c>
      <c r="C352" s="79" t="str">
        <f ca="1" xml:space="preserve"> "/\" &amp;RANDBETWEEN( 1,120) &amp; "/\" &amp; "the company’s shareprice over the past two years has risen twice as fast as equity book value" &amp; "/\" &amp; "equity book value over the past two years has risen twice as fast as the company’s shareprice" &amp; "/\" &amp; "the company’s stock is twice as undervalued today compared to two years ago" &amp; "/\" &amp; "the equity book value understates asset values twice as much today compared to two years ago" &amp; "/\" &amp; "the company’s stock is twice as overvalued today compared to two years ago"</f>
        <v>/\29/\the company’s shareprice over the past two years has risen twice as fast as equity book value/\equity book value over the past two years has risen twice as fast as the company’s shareprice/\the company’s stock is twice as undervalued today compared to two years ago/\the equity book value understates asset values twice as much today compared to two years ago/\the company’s stock is twice as overvalued today compared to two years ago</v>
      </c>
      <c r="D352" s="80" t="s">
        <v>616</v>
      </c>
    </row>
    <row r="353" spans="1:4" ht="16" thickTop="1" x14ac:dyDescent="0.35">
      <c r="B353" s="81" t="str">
        <f ca="1">[1]!simpleV_A($C$352)</f>
        <v>equity book value over the past two years has risen twice as fast as the company’s shareprice</v>
      </c>
      <c r="C353" s="82"/>
      <c r="D353" s="77"/>
    </row>
    <row r="354" spans="1:4" x14ac:dyDescent="0.35">
      <c r="B354" s="81" t="str">
        <f ca="1">[1]!simpleV_B($C$352)</f>
        <v>the company’s shareprice over the past two years has risen twice as fast as equity book value</v>
      </c>
      <c r="C354" s="82"/>
      <c r="D354" s="77"/>
    </row>
    <row r="355" spans="1:4" x14ac:dyDescent="0.35">
      <c r="B355" s="81" t="str">
        <f ca="1">[1]!simpleV_C($C$352)</f>
        <v>the company’s stock is twice as overvalued today compared to two years ago</v>
      </c>
      <c r="C355" s="82"/>
      <c r="D355" s="77"/>
    </row>
    <row r="356" spans="1:4" x14ac:dyDescent="0.35">
      <c r="B356" s="81" t="str">
        <f ca="1">[1]!simpleV_D($C$352)</f>
        <v>the company’s stock is twice as undervalued today compared to two years ago</v>
      </c>
      <c r="C356" s="82"/>
      <c r="D356" s="77"/>
    </row>
    <row r="357" spans="1:4" ht="16" thickBot="1" x14ac:dyDescent="0.4">
      <c r="B357" s="83" t="str">
        <f ca="1">[1]!simpleV_E($C$352)</f>
        <v>the equity book value understates asset values twice as much today compared to two years ago</v>
      </c>
      <c r="C357" s="84"/>
      <c r="D357" s="78"/>
    </row>
    <row r="358" spans="1:4" ht="16" thickTop="1" x14ac:dyDescent="0.35"/>
    <row r="360" spans="1:4" ht="16" thickBot="1" x14ac:dyDescent="0.4">
      <c r="A360" s="88" t="s">
        <v>3017</v>
      </c>
    </row>
    <row r="361" spans="1:4" ht="16.5" thickTop="1" thickBot="1" x14ac:dyDescent="0.4">
      <c r="B361" s="76" t="str">
        <f ca="1">[1]!std_ans($C$361)</f>
        <v>A</v>
      </c>
      <c r="C361" s="79" t="str">
        <f ca="1" xml:space="preserve"> "/\" &amp;RANDBETWEEN( 1,120) &amp; "/\" &amp; "a book by Burton Malkiel that proclaims a well-trained monkey throwing darts can pick stocks as well as highly paid Wall Street professionals" &amp; "/\" &amp; "a book by Harry Markowitz that proclaims stock prices move in random patterns unrelated to corporate profits" &amp; "/\" &amp; "a book by Burton Malkiel that proclaims highly paid Wall Street Professionals pick stocks based on random information sets and that success is a random outcome" &amp; "/\" &amp; "a book by Harry Markowitz that proclaims stock prices move in random patterns and consequently highly paid Wall Street professionals cannot consistently pick underlying price patterns" &amp; "/\" &amp; "a movie in which Kris Kristofferson portrays a New York drunk that accosts highly paid Wall Street professionals"</f>
        <v>/\22/\a book by Burton Malkiel that proclaims a well-trained monkey throwing darts can pick stocks as well as highly paid Wall Street professionals/\a book by Harry Markowitz that proclaims stock prices move in random patterns unrelated to corporate profits/\a book by Burton Malkiel that proclaims highly paid Wall Street Professionals pick stocks based on random information sets and that success is a random outcome/\a book by Harry Markowitz that proclaims stock prices move in random patterns and consequently highly paid Wall Street professionals cannot consistently pick underlying price patterns/\a movie in which Kris Kristofferson portrays a New York drunk that accosts highly paid Wall Street professionals</v>
      </c>
      <c r="D361" s="80" t="s">
        <v>3018</v>
      </c>
    </row>
    <row r="362" spans="1:4" ht="16" thickTop="1" x14ac:dyDescent="0.35">
      <c r="B362" s="81" t="str">
        <f ca="1">[1]!simpleV_A($C$361)</f>
        <v>a book by Burton Malkiel that proclaims a well-trained monkey throwing darts can pick stocks as well as highly paid Wall Street professionals</v>
      </c>
      <c r="C362" s="82"/>
      <c r="D362" s="77"/>
    </row>
    <row r="363" spans="1:4" x14ac:dyDescent="0.35">
      <c r="B363" s="81" t="str">
        <f ca="1">[1]!simpleV_B($C$361)</f>
        <v>a movie in which Kris Kristofferson portrays a New York drunk that accosts highly paid Wall Street professionals</v>
      </c>
      <c r="C363" s="82"/>
      <c r="D363" s="77"/>
    </row>
    <row r="364" spans="1:4" x14ac:dyDescent="0.35">
      <c r="B364" s="81" t="str">
        <f ca="1">[1]!simpleV_C($C$361)</f>
        <v>a book by Burton Malkiel that proclaims highly paid Wall Street Professionals pick stocks based on random information sets and that success is a random outcome</v>
      </c>
      <c r="C364" s="82"/>
      <c r="D364" s="77"/>
    </row>
    <row r="365" spans="1:4" x14ac:dyDescent="0.35">
      <c r="B365" s="81" t="str">
        <f ca="1">[1]!simpleV_D($C$361)</f>
        <v>a book by Harry Markowitz that proclaims stock prices move in random patterns and consequently highly paid Wall Street professionals cannot consistently pick underlying price patterns</v>
      </c>
      <c r="C365" s="82"/>
      <c r="D365" s="77"/>
    </row>
    <row r="366" spans="1:4" ht="16" thickBot="1" x14ac:dyDescent="0.4">
      <c r="B366" s="83" t="str">
        <f ca="1">[1]!simpleV_E($C$361)</f>
        <v>a book by Harry Markowitz that proclaims stock prices move in random patterns unrelated to corporate profits</v>
      </c>
      <c r="C366" s="84"/>
      <c r="D366" s="78"/>
    </row>
    <row r="367" spans="1:4" ht="16" thickTop="1" x14ac:dyDescent="0.35"/>
    <row r="369" spans="1:4" ht="16" thickBot="1" x14ac:dyDescent="0.4">
      <c r="A369" s="88" t="s">
        <v>645</v>
      </c>
    </row>
    <row r="370" spans="1:4" ht="16.5" thickTop="1" thickBot="1" x14ac:dyDescent="0.4">
      <c r="B370" s="76" t="str">
        <f ca="1">[1]!std_ans($C$370)</f>
        <v>A</v>
      </c>
      <c r="C370" s="79" t="str">
        <f ca="1" xml:space="preserve"> "/\" &amp;RANDBETWEEN( 1,120) &amp; "/\" &amp; "an investment which generates most cash flows at the end of its life." &amp; "/\" &amp; "an investment that is being discounted by a small discount rate." &amp; "/\" &amp; "an investment which generates most cash flows at the beginning of its life." &amp; "/\" &amp; "an investment which generates equal cash flows each period." &amp; "/\" &amp; "there is no reliable relationship between the distribution of cash flows and present value."</f>
        <v>/\7/\an investment which generates most cash flows at the end of its life./\an investment that is being discounted by a small discount rate./\an investment which generates most cash flows at the beginning of its life./\an investment which generates equal cash flows each period./\there is no reliable relationship between the distribution of cash flows and present value.</v>
      </c>
      <c r="D370" s="80" t="s">
        <v>326</v>
      </c>
    </row>
    <row r="371" spans="1:4" ht="16" thickTop="1" x14ac:dyDescent="0.35">
      <c r="B371" s="81" t="str">
        <f ca="1">[1]!simpleV_A($C$370)</f>
        <v>an investment which generates most cash flows at the end of its life.</v>
      </c>
      <c r="C371" s="82"/>
      <c r="D371" s="77"/>
    </row>
    <row r="372" spans="1:4" x14ac:dyDescent="0.35">
      <c r="B372" s="81" t="str">
        <f ca="1">[1]!simpleV_B($C$370)</f>
        <v>an investment which generates most cash flows at the beginning of its life.</v>
      </c>
      <c r="C372" s="82"/>
      <c r="D372" s="77"/>
    </row>
    <row r="373" spans="1:4" x14ac:dyDescent="0.35">
      <c r="B373" s="81" t="str">
        <f ca="1">[1]!simpleV_C($C$370)</f>
        <v>an investment that is being discounted by a small discount rate.</v>
      </c>
      <c r="C373" s="82"/>
      <c r="D373" s="77"/>
    </row>
    <row r="374" spans="1:4" x14ac:dyDescent="0.35">
      <c r="B374" s="81" t="str">
        <f ca="1">[1]!simpleV_D($C$370)</f>
        <v>an investment which generates equal cash flows each period.</v>
      </c>
      <c r="C374" s="82"/>
      <c r="D374" s="77"/>
    </row>
    <row r="375" spans="1:4" ht="16" thickBot="1" x14ac:dyDescent="0.4">
      <c r="B375" s="83" t="str">
        <f ca="1">[1]!simpleV_E($C$370)</f>
        <v>there is no reliable relationship between the distribution of cash flows and present value.</v>
      </c>
      <c r="C375" s="84"/>
      <c r="D375" s="78"/>
    </row>
    <row r="376" spans="1:4" ht="16" thickTop="1" x14ac:dyDescent="0.35"/>
    <row r="378" spans="1:4" ht="16" thickBot="1" x14ac:dyDescent="0.4">
      <c r="A378" s="88" t="s">
        <v>327</v>
      </c>
    </row>
    <row r="379" spans="1:4" ht="16.5" thickTop="1" thickBot="1" x14ac:dyDescent="0.4">
      <c r="B379" s="76" t="str">
        <f ca="1">[1]!std_ans($C$379)</f>
        <v>C</v>
      </c>
      <c r="C379" s="79" t="str">
        <f ca="1" xml:space="preserve"> "/\" &amp;RANDBETWEEN( 1,120) &amp; "/\" &amp; "a certain outcome earning more than the risk free rate" &amp; "/\" &amp; "a certain outcome earning less than the risk free rate" &amp; "/\" &amp; "an uncertain outcome earning less than the risk free rate" &amp; "/\" &amp; "an uncertain outcome earning more than the risk free rate" &amp; "/\" &amp; "an investment strategy that profits from uncertain price changes"</f>
        <v>/\116/\a certain outcome earning more than the risk free rate/\a certain outcome earning less than the risk free rate/\an uncertain outcome earning less than the risk free rate/\an uncertain outcome earning more than the risk free rate/\an investment strategy that profits from uncertain price changes</v>
      </c>
      <c r="D379" s="80" t="s">
        <v>328</v>
      </c>
    </row>
    <row r="380" spans="1:4" ht="16" thickTop="1" x14ac:dyDescent="0.35">
      <c r="B380" s="81" t="str">
        <f ca="1">[1]!simpleV_A($C$379)</f>
        <v>an investment strategy that profits from uncertain price changes</v>
      </c>
      <c r="C380" s="82"/>
      <c r="D380" s="77"/>
    </row>
    <row r="381" spans="1:4" x14ac:dyDescent="0.35">
      <c r="B381" s="81" t="str">
        <f ca="1">[1]!simpleV_B($C$379)</f>
        <v>an uncertain outcome earning more than the risk free rate</v>
      </c>
      <c r="C381" s="82"/>
      <c r="D381" s="77"/>
    </row>
    <row r="382" spans="1:4" x14ac:dyDescent="0.35">
      <c r="B382" s="81" t="str">
        <f ca="1">[1]!simpleV_C($C$379)</f>
        <v>a certain outcome earning more than the risk free rate</v>
      </c>
      <c r="C382" s="82"/>
      <c r="D382" s="77"/>
    </row>
    <row r="383" spans="1:4" x14ac:dyDescent="0.35">
      <c r="B383" s="81" t="str">
        <f ca="1">[1]!simpleV_D($C$379)</f>
        <v>an uncertain outcome earning less than the risk free rate</v>
      </c>
      <c r="C383" s="82"/>
      <c r="D383" s="77"/>
    </row>
    <row r="384" spans="1:4" ht="16" thickBot="1" x14ac:dyDescent="0.4">
      <c r="B384" s="83" t="str">
        <f ca="1">[1]!simpleV_E($C$379)</f>
        <v>a certain outcome earning less than the risk free rate</v>
      </c>
      <c r="C384" s="84"/>
      <c r="D384" s="78"/>
    </row>
    <row r="385" spans="1:4" ht="16" thickTop="1" x14ac:dyDescent="0.35"/>
    <row r="387" spans="1:4" ht="16" thickBot="1" x14ac:dyDescent="0.4">
      <c r="A387" s="88" t="s">
        <v>329</v>
      </c>
    </row>
    <row r="388" spans="1:4" ht="16.5" thickTop="1" thickBot="1" x14ac:dyDescent="0.4">
      <c r="B388" s="76" t="str">
        <f ca="1">[1]!std_ans($C$388)</f>
        <v>D</v>
      </c>
      <c r="C388" s="79" t="str">
        <f ca="1" xml:space="preserve"> "/\" &amp;RANDBETWEEN( 1,120) &amp; "/\" &amp; "a depreciating dollar helps export sales" &amp; "/\" &amp; "a depreciating dollar helps reduce local labor costs" &amp; "/\" &amp; "a depreciating dollar lowers profit margins" &amp; "/\" &amp; "an appreciating dollar helps reduce local labor costs" &amp; "/\" &amp; "a depreciating dollar hurts export sales"</f>
        <v>/\87/\a depreciating dollar helps export sales/\a depreciating dollar helps reduce local labor costs/\a depreciating dollar lowers profit margins/\an appreciating dollar helps reduce local labor costs/\a depreciating dollar hurts export sales</v>
      </c>
      <c r="D388" s="80" t="s">
        <v>330</v>
      </c>
    </row>
    <row r="389" spans="1:4" ht="16" thickTop="1" x14ac:dyDescent="0.35">
      <c r="B389" s="81" t="str">
        <f ca="1">[1]!simpleV_A($C$388)</f>
        <v>an appreciating dollar helps reduce local labor costs</v>
      </c>
      <c r="C389" s="82"/>
      <c r="D389" s="77"/>
    </row>
    <row r="390" spans="1:4" x14ac:dyDescent="0.35">
      <c r="B390" s="81" t="str">
        <f ca="1">[1]!simpleV_B($C$388)</f>
        <v>a depreciating dollar lowers profit margins</v>
      </c>
      <c r="C390" s="82"/>
      <c r="D390" s="77"/>
    </row>
    <row r="391" spans="1:4" x14ac:dyDescent="0.35">
      <c r="B391" s="81" t="str">
        <f ca="1">[1]!simpleV_C($C$388)</f>
        <v>a depreciating dollar helps reduce local labor costs</v>
      </c>
      <c r="C391" s="82"/>
      <c r="D391" s="77"/>
    </row>
    <row r="392" spans="1:4" x14ac:dyDescent="0.35">
      <c r="B392" s="81" t="str">
        <f ca="1">[1]!simpleV_D($C$388)</f>
        <v>a depreciating dollar helps export sales</v>
      </c>
      <c r="C392" s="82"/>
      <c r="D392" s="77"/>
    </row>
    <row r="393" spans="1:4" ht="16" thickBot="1" x14ac:dyDescent="0.4">
      <c r="B393" s="83" t="str">
        <f ca="1">[1]!simpleV_E($C$388)</f>
        <v>a depreciating dollar hurts export sales</v>
      </c>
      <c r="C393" s="84"/>
      <c r="D393" s="78"/>
    </row>
    <row r="394" spans="1:4" ht="16" thickTop="1" x14ac:dyDescent="0.35"/>
    <row r="396" spans="1:4" ht="16" thickBot="1" x14ac:dyDescent="0.4">
      <c r="A396" s="88" t="s">
        <v>331</v>
      </c>
    </row>
    <row r="397" spans="1:4" ht="16.5" thickTop="1" thickBot="1" x14ac:dyDescent="0.4">
      <c r="B397" s="76" t="str">
        <f ca="1">[1]!std_ans($C$397)</f>
        <v>E</v>
      </c>
      <c r="C397" s="79" t="str">
        <f ca="1" xml:space="preserve"> "/\" &amp;RANDBETWEEN( 1,120) &amp; "/\" &amp; "an IPO is the sale of insured stock to the public by large capitalization companies" &amp; "/\" &amp; "information disclosure requirements increase after the company goes public" &amp; "/\" &amp; "IPO’s tend to diminish in frequency during general stock market declines" &amp; "/\" &amp; "shareprices for IPO stocks generally rise dramatically during the first few days following the IPO" &amp; "/\" &amp; "shareprices for IPO stocks generally underperform the overall market during the few years following the IPO"</f>
        <v>/\42/\an IPO is the sale of insured stock to the public by large capitalization companies/\information disclosure requirements increase after the company goes public/\IPO’s tend to diminish in frequency during general stock market declines/\shareprices for IPO stocks generally rise dramatically during the first few days following the IPO/\shareprices for IPO stocks generally underperform the overall market during the few years following the IPO</v>
      </c>
      <c r="D397" s="80" t="s">
        <v>332</v>
      </c>
    </row>
    <row r="398" spans="1:4" ht="16" thickTop="1" x14ac:dyDescent="0.35">
      <c r="B398" s="81" t="str">
        <f ca="1">[1]!simpleV_A($C$397)</f>
        <v>information disclosure requirements increase after the company goes public</v>
      </c>
      <c r="C398" s="82"/>
      <c r="D398" s="77"/>
    </row>
    <row r="399" spans="1:4" x14ac:dyDescent="0.35">
      <c r="B399" s="81" t="str">
        <f ca="1">[1]!simpleV_B($C$397)</f>
        <v>shareprices for IPO stocks generally rise dramatically during the first few days following the IPO</v>
      </c>
      <c r="C399" s="82"/>
      <c r="D399" s="77"/>
    </row>
    <row r="400" spans="1:4" x14ac:dyDescent="0.35">
      <c r="B400" s="81" t="str">
        <f ca="1">[1]!simpleV_C($C$397)</f>
        <v>shareprices for IPO stocks generally underperform the overall market during the few years following the IPO</v>
      </c>
      <c r="C400" s="82"/>
      <c r="D400" s="77"/>
    </row>
    <row r="401" spans="1:4" x14ac:dyDescent="0.35">
      <c r="B401" s="81" t="str">
        <f ca="1">[1]!simpleV_D($C$397)</f>
        <v>IPO’s tend to diminish in frequency during general stock market declines</v>
      </c>
      <c r="C401" s="82"/>
      <c r="D401" s="77"/>
    </row>
    <row r="402" spans="1:4" ht="16" thickBot="1" x14ac:dyDescent="0.4">
      <c r="B402" s="83" t="str">
        <f ca="1">[1]!simpleV_E($C$397)</f>
        <v>an IPO is the sale of insured stock to the public by large capitalization companies</v>
      </c>
      <c r="C402" s="84"/>
      <c r="D402" s="78"/>
    </row>
    <row r="403" spans="1:4" ht="16" thickTop="1" x14ac:dyDescent="0.35"/>
    <row r="405" spans="1:4" ht="16" thickBot="1" x14ac:dyDescent="0.4">
      <c r="A405" s="88" t="s">
        <v>818</v>
      </c>
    </row>
    <row r="406" spans="1:4" ht="16.5" thickTop="1" thickBot="1" x14ac:dyDescent="0.4">
      <c r="B406" s="76" t="str">
        <f ca="1">[1]!std_ans($C$406)</f>
        <v>B</v>
      </c>
      <c r="C406" s="79" t="str">
        <f ca="1" xml:space="preserve"> "/\" &amp;RANDBETWEEN( 1,120) &amp; "/\" &amp; "The investor that purchased the stock at its offer price and sold it at the end of the day made a 100% rate of return." &amp; "/\" &amp; "The company receives a cash inflow of $45 for each share sold." &amp; "/\" &amp; "The investor that purchased the stock at its offer price and sold it at the end of the day made a 200% rate of return." &amp; "/\" &amp; "The investor that purchased the stock at noon and sold it at the end of the day made a –67%% rate of return." &amp; "/\" &amp; "The company receives a cash inflow of $30 for each share sold."</f>
        <v>/\54/\The investor that purchased the stock at its offer price and sold it at the end of the day made a 100% rate of return./\The company receives a cash inflow of $45 for each share sold./\The investor that purchased the stock at its offer price and sold it at the end of the day made a 200% rate of return./\The investor that purchased the stock at noon and sold it at the end of the day made a –67%% rate of return./\The company receives a cash inflow of $30 for each share sold.</v>
      </c>
      <c r="D406" s="80" t="s">
        <v>819</v>
      </c>
    </row>
    <row r="407" spans="1:4" ht="16" thickTop="1" x14ac:dyDescent="0.35">
      <c r="B407" s="81" t="str">
        <f ca="1">[1]!simpleV_A($C$406)</f>
        <v>The investor that purchased the stock at its offer price and sold it at the end of the day made a 200% rate of return.</v>
      </c>
      <c r="C407" s="82"/>
      <c r="D407" s="77"/>
    </row>
    <row r="408" spans="1:4" x14ac:dyDescent="0.35">
      <c r="B408" s="81" t="str">
        <f ca="1">[1]!simpleV_B($C$406)</f>
        <v>The investor that purchased the stock at its offer price and sold it at the end of the day made a 100% rate of return.</v>
      </c>
      <c r="C408" s="82"/>
      <c r="D408" s="77"/>
    </row>
    <row r="409" spans="1:4" x14ac:dyDescent="0.35">
      <c r="B409" s="81" t="str">
        <f ca="1">[1]!simpleV_C($C$406)</f>
        <v>The company receives a cash inflow of $30 for each share sold.</v>
      </c>
      <c r="C409" s="82"/>
      <c r="D409" s="77"/>
    </row>
    <row r="410" spans="1:4" x14ac:dyDescent="0.35">
      <c r="B410" s="81" t="str">
        <f ca="1">[1]!simpleV_D($C$406)</f>
        <v>The investor that purchased the stock at noon and sold it at the end of the day made a –67%% rate of return.</v>
      </c>
      <c r="C410" s="82"/>
      <c r="D410" s="77"/>
    </row>
    <row r="411" spans="1:4" ht="16" thickBot="1" x14ac:dyDescent="0.4">
      <c r="B411" s="83" t="str">
        <f ca="1">[1]!simpleV_E($C$406)</f>
        <v>The company receives a cash inflow of $45 for each share sold.</v>
      </c>
      <c r="C411" s="84"/>
      <c r="D411" s="78"/>
    </row>
    <row r="412" spans="1:4" ht="16" thickTop="1" x14ac:dyDescent="0.35"/>
    <row r="414" spans="1:4" ht="16" thickBot="1" x14ac:dyDescent="0.4">
      <c r="A414" s="120" t="s">
        <v>3685</v>
      </c>
    </row>
    <row r="415" spans="1:4" ht="16.5" thickTop="1" thickBot="1" x14ac:dyDescent="0.4">
      <c r="B415" s="76" t="str">
        <f ca="1">[1]!alpha_ans($C$415)</f>
        <v>E</v>
      </c>
      <c r="C415" s="79" t="str">
        <f ca="1" xml:space="preserve"> "/\" &amp;RANDBETWEEN( 1,5) &amp; "/\" &amp;RANDBETWEEN( 1,3) &amp; "/\" &amp;RANDBETWEEN( 1,2) &amp; "/\" &amp;"shareprices for IPO stocks during the first day of trading generally rise dramatically " &amp; "/\" &amp; "shareprices for IPOs during the first day of trading rise dramatically for some stocks, fall for others, but on average follow the overall market" &amp; "/\" &amp; "shareprices for IPO stocks generally underperform the overall market during the few years following the IPO" &amp; "/\" &amp; "shareprices for IPO stocks generally overperform the overall market during the few years following the IPO" &amp; "/\" &amp; "information disclosure requirements increase after the company goes public" &amp; "/\" &amp; "information disclosure requirements usually decrease once the company goes public"</f>
        <v>/\5/\1/\2/\shareprices for IPO stocks during the first day of trading generally rise dramatically /\shareprices for IPOs during the first day of trading rise dramatically for some stocks, fall for others, but on average follow the overall market/\shareprices for IPO stocks generally underperform the overall market during the few years following the IPO/\shareprices for IPO stocks generally overperform the overall market during the few years following the IPO/\information disclosure requirements increase after the company goes public/\information disclosure requirements usually decrease once the company goes public</v>
      </c>
      <c r="D415" s="80" t="s">
        <v>3686</v>
      </c>
    </row>
    <row r="416" spans="1:4" ht="16" thickTop="1" x14ac:dyDescent="0.35">
      <c r="B416" s="81" t="str">
        <f ca="1">[1]!complexV_A($C$415)</f>
        <v>shareprices for IPOs during the first day of trading rise dramatically for some stocks, fall for others, but on average follow the overall market</v>
      </c>
      <c r="C416" s="82"/>
      <c r="D416" s="77"/>
    </row>
    <row r="417" spans="1:4" x14ac:dyDescent="0.35">
      <c r="B417" s="81" t="str">
        <f ca="1">[1]!complexV_B($C$415)</f>
        <v>shareprices for IPO stocks generally overperform the overall market during the few years following the IPO</v>
      </c>
      <c r="C417" s="82"/>
      <c r="D417" s="77"/>
    </row>
    <row r="418" spans="1:4" x14ac:dyDescent="0.35">
      <c r="B418" s="81" t="str">
        <f ca="1">[1]!complexV_C($C$415)</f>
        <v>information disclosure requirements usually decrease once the company goes public</v>
      </c>
      <c r="C418" s="82"/>
      <c r="D418" s="77"/>
    </row>
    <row r="419" spans="1:4" x14ac:dyDescent="0.35">
      <c r="B419" s="81" t="str">
        <f ca="1">[1]!complexV_D($C$415)</f>
        <v>Two choices, A and B, are correct</v>
      </c>
      <c r="C419" s="82"/>
      <c r="D419" s="77"/>
    </row>
    <row r="420" spans="1:4" ht="16" thickBot="1" x14ac:dyDescent="0.4">
      <c r="B420" s="83" t="str">
        <f ca="1">[1]!complexV_E($C$415)</f>
        <v>None of the A-B-C choices are correct</v>
      </c>
      <c r="C420" s="84"/>
      <c r="D420" s="78"/>
    </row>
    <row r="421" spans="1:4" ht="16" thickTop="1" x14ac:dyDescent="0.35"/>
    <row r="423" spans="1:4" ht="16" thickBot="1" x14ac:dyDescent="0.4">
      <c r="A423" s="88" t="s">
        <v>3665</v>
      </c>
    </row>
    <row r="424" spans="1:4" ht="16.5" thickTop="1" thickBot="1" x14ac:dyDescent="0.4">
      <c r="B424" s="76" t="str">
        <f ca="1">[1]!std_ans($C$424)</f>
        <v>B</v>
      </c>
      <c r="C424" s="79" t="str">
        <f ca="1" xml:space="preserve"> "/\" &amp;RANDBETWEEN( 1,120) &amp; "/\" &amp; "a collection of member funds that are offered by the same sponsoring company" &amp; "/\" &amp; "a collection of bank holding companies that offer mutual fund investments to its depositors" &amp; "/\" &amp; "an association of industry workers whose headquarters is in Boston" &amp; "/\" &amp; "a group of different companies that nonetheless have the same investment objective" &amp; "/\" &amp; "a collection of member funds within one company that have the same investment objective"</f>
        <v>/\98/\a collection of member funds that are offered by the same sponsoring company/\a collection of bank holding companies that offer mutual fund investments to its depositors/\an association of industry workers whose headquarters is in Boston/\a group of different companies that nonetheless have the same investment objective/\a collection of member funds within one company that have the same investment objective</v>
      </c>
      <c r="D424" s="80" t="s">
        <v>2510</v>
      </c>
    </row>
    <row r="425" spans="1:4" ht="16" thickTop="1" x14ac:dyDescent="0.35">
      <c r="B425" s="81" t="str">
        <f ca="1">[1]!simpleV_A($C$424)</f>
        <v>a collection of member funds within one company that have the same investment objective</v>
      </c>
      <c r="C425" s="82"/>
      <c r="D425" s="77"/>
    </row>
    <row r="426" spans="1:4" x14ac:dyDescent="0.35">
      <c r="B426" s="81" t="str">
        <f ca="1">[1]!simpleV_B($C$424)</f>
        <v>a collection of member funds that are offered by the same sponsoring company</v>
      </c>
      <c r="C426" s="82"/>
      <c r="D426" s="77"/>
    </row>
    <row r="427" spans="1:4" x14ac:dyDescent="0.35">
      <c r="B427" s="81" t="str">
        <f ca="1">[1]!simpleV_C($C$424)</f>
        <v>a collection of bank holding companies that offer mutual fund investments to its depositors</v>
      </c>
      <c r="C427" s="82"/>
      <c r="D427" s="77"/>
    </row>
    <row r="428" spans="1:4" x14ac:dyDescent="0.35">
      <c r="B428" s="81" t="str">
        <f ca="1">[1]!simpleV_D($C$424)</f>
        <v>a group of different companies that nonetheless have the same investment objective</v>
      </c>
      <c r="C428" s="82"/>
      <c r="D428" s="77"/>
    </row>
    <row r="429" spans="1:4" ht="16" thickBot="1" x14ac:dyDescent="0.4">
      <c r="B429" s="83" t="str">
        <f ca="1">[1]!simpleV_E($C$424)</f>
        <v>an association of industry workers whose headquarters is in Boston</v>
      </c>
      <c r="C429" s="84"/>
      <c r="D429" s="78"/>
    </row>
    <row r="430" spans="1:4" ht="16" thickTop="1" x14ac:dyDescent="0.35"/>
    <row r="432" spans="1:4" ht="16" thickBot="1" x14ac:dyDescent="0.4">
      <c r="A432" s="88" t="s">
        <v>3827</v>
      </c>
    </row>
    <row r="433" spans="1:4" ht="16.5" thickTop="1" thickBot="1" x14ac:dyDescent="0.4">
      <c r="B433" s="76" t="str">
        <f ca="1">[1]!alpha_ans($C$433)</f>
        <v>C</v>
      </c>
      <c r="C433" s="79" t="str">
        <f ca="1" xml:space="preserve"> "/\" &amp;RANDBETWEEN( 1,5) &amp; "/\" &amp;RANDBETWEEN( 1,3) &amp; "/\" &amp;RANDBETWEEN( 1,2) &amp; "/\" &amp;"end-of-year (January) stock returns violate the weak form EMH because they are consistently larger than average" &amp; "/\" &amp; "end-of-year (January) stock returns violate the strong form EMH because they are consistently larger than average" &amp; "/\" &amp; "stock returns following a surprise earnings announcement violate the semi-strong form EMH because they continue the surprise trend" &amp; "/\" &amp; "stock returns following a surprise earnings announcement violate the weak form EMH because they continue the surprise trend" &amp; "/\" &amp; "stock returns after a stock split support the semi-strong form EMH because they are average" &amp; "/\" &amp; "stock returns after a stock split reject the semi-strong form EMH because they are positive"</f>
        <v>/\3/\2/\1/\end-of-year (January) stock returns violate the weak form EMH because they are consistently larger than average/\end-of-year (January) stock returns violate the strong form EMH because they are consistently larger than average/\stock returns following a surprise earnings announcement violate the semi-strong form EMH because they continue the surprise trend/\stock returns following a surprise earnings announcement violate the weak form EMH because they continue the surprise trend/\stock returns after a stock split support the semi-strong form EMH because they are average/\stock returns after a stock split reject the semi-strong form EMH because they are positive</v>
      </c>
      <c r="D433" s="80" t="s">
        <v>3621</v>
      </c>
    </row>
    <row r="434" spans="1:4" ht="16" thickTop="1" x14ac:dyDescent="0.35">
      <c r="B434" s="81" t="str">
        <f ca="1">[1]!complexV_A($C$433)</f>
        <v>end-of-year (January) stock returns violate the strong form EMH because they are consistently larger than average</v>
      </c>
      <c r="C434" s="82"/>
      <c r="D434" s="77"/>
    </row>
    <row r="435" spans="1:4" x14ac:dyDescent="0.35">
      <c r="B435" s="81" t="str">
        <f ca="1">[1]!complexV_B($C$433)</f>
        <v>stock returns following a surprise earnings announcement violate the weak form EMH because they continue the surprise trend</v>
      </c>
      <c r="C435" s="82"/>
      <c r="D435" s="77"/>
    </row>
    <row r="436" spans="1:4" x14ac:dyDescent="0.35">
      <c r="B436" s="81" t="str">
        <f ca="1">[1]!complexV_C($C$433)</f>
        <v>stock returns after a stock split support the semi-strong form EMH because they are average</v>
      </c>
      <c r="C436" s="82"/>
      <c r="D436" s="77"/>
    </row>
    <row r="437" spans="1:4" x14ac:dyDescent="0.35">
      <c r="B437" s="81" t="str">
        <f ca="1">[1]!complexV_D($C$433)</f>
        <v>Two choices, A and C, are correct</v>
      </c>
      <c r="C437" s="82"/>
      <c r="D437" s="77"/>
    </row>
    <row r="438" spans="1:4" ht="16" thickBot="1" x14ac:dyDescent="0.4">
      <c r="B438" s="83" t="str">
        <f ca="1">[1]!complexV_E($C$433)</f>
        <v>The three A-B-C choices are all correct</v>
      </c>
      <c r="C438" s="84"/>
      <c r="D438" s="78"/>
    </row>
    <row r="439" spans="1:4" ht="16" thickTop="1" x14ac:dyDescent="0.35"/>
    <row r="441" spans="1:4" ht="16" thickBot="1" x14ac:dyDescent="0.4">
      <c r="A441" s="88" t="s">
        <v>3622</v>
      </c>
    </row>
    <row r="442" spans="1:4" ht="16.5" thickTop="1" thickBot="1" x14ac:dyDescent="0.4">
      <c r="B442" s="76" t="str">
        <f ca="1">[1]!std_ans($C$442)</f>
        <v>A</v>
      </c>
      <c r="C442" s="79" t="str">
        <f ca="1" xml:space="preserve"> "/\" &amp;RANDBETWEEN( 1,120) &amp; "/\" &amp; "assigned to a post on the exchange floor and is charged to maintain a fair and orderly market in specific stocks" &amp; "/\" &amp; "an employee of a company, such as Merrill Lynch or Goldman Sachs, that offers expert investment advice to investors about which NYSE stocks to buy" &amp; "/\" &amp; "a trader employed by a listed company that has expert information about specific stocks" &amp; "/\" &amp; "an employee of the NYSE skilled at cleaning confetti from the trading floor" &amp; "/\" &amp; "an employee of the NYSE that operates expert systems software for disseminating information over the newswire"</f>
        <v>/\1/\assigned to a post on the exchange floor and is charged to maintain a fair and orderly market in specific stocks/\an employee of a company, such as Merrill Lynch or Goldman Sachs, that offers expert investment advice to investors about which NYSE stocks to buy/\a trader employed by a listed company that has expert information about specific stocks/\an employee of the NYSE skilled at cleaning confetti from the trading floor/\an employee of the NYSE that operates expert systems software for disseminating information over the newswire</v>
      </c>
      <c r="D442" s="80" t="s">
        <v>3623</v>
      </c>
    </row>
    <row r="443" spans="1:4" ht="16" thickTop="1" x14ac:dyDescent="0.35">
      <c r="B443" s="81" t="str">
        <f ca="1">[1]!simpleV_A($C$442)</f>
        <v>assigned to a post on the exchange floor and is charged to maintain a fair and orderly market in specific stocks</v>
      </c>
      <c r="C443" s="82"/>
      <c r="D443" s="77"/>
    </row>
    <row r="444" spans="1:4" x14ac:dyDescent="0.35">
      <c r="B444" s="81" t="str">
        <f ca="1">[1]!simpleV_B($C$442)</f>
        <v>an employee of a company, such as Merrill Lynch or Goldman Sachs, that offers expert investment advice to investors about which NYSE stocks to buy</v>
      </c>
      <c r="C444" s="82"/>
      <c r="D444" s="77"/>
    </row>
    <row r="445" spans="1:4" x14ac:dyDescent="0.35">
      <c r="B445" s="81" t="str">
        <f ca="1">[1]!simpleV_C($C$442)</f>
        <v>a trader employed by a listed company that has expert information about specific stocks</v>
      </c>
      <c r="C445" s="82"/>
      <c r="D445" s="77"/>
    </row>
    <row r="446" spans="1:4" x14ac:dyDescent="0.35">
      <c r="B446" s="81" t="str">
        <f ca="1">[1]!simpleV_D($C$442)</f>
        <v>an employee of the NYSE skilled at cleaning confetti from the trading floor</v>
      </c>
      <c r="C446" s="82"/>
      <c r="D446" s="77"/>
    </row>
    <row r="447" spans="1:4" ht="16" thickBot="1" x14ac:dyDescent="0.4">
      <c r="B447" s="83" t="str">
        <f ca="1">[1]!simpleV_E($C$442)</f>
        <v>an employee of the NYSE that operates expert systems software for disseminating information over the newswire</v>
      </c>
      <c r="C447" s="84"/>
      <c r="D447" s="78"/>
    </row>
    <row r="448" spans="1:4" ht="16" thickTop="1" x14ac:dyDescent="0.35"/>
    <row r="450" spans="1:4" ht="16" thickBot="1" x14ac:dyDescent="0.4">
      <c r="A450" s="88" t="s">
        <v>3624</v>
      </c>
    </row>
    <row r="451" spans="1:4" ht="16.5" thickTop="1" thickBot="1" x14ac:dyDescent="0.4">
      <c r="B451" s="76" t="str">
        <f ca="1">[1]!std_ans($C$451)</f>
        <v>C</v>
      </c>
      <c r="C451" s="79" t="str">
        <f ca="1" xml:space="preserve"> "/\" &amp;RANDBETWEEN( 1,120) &amp; "/\" &amp; "the NYSE is a profit making corporation that seeks profit by providing a fair marketplace for trading stocks" &amp; "/\" &amp; "the NYSE is a non-profit corporation that provides a marketplace for trading stocks and receives government subsidies to cover costs" &amp; "/\" &amp; "the NYSE is a government supported organization whose objective is to provide a fair marketplace for trading stocks" &amp; "/\" &amp; "the NYSE is a non-profit corporation that provides a marketplace for trading stocks and charges fees sufficient exclusively to cover costs" &amp; "/\" &amp; "the NYSE is a government sponsored organization that provides a marketplace for trading stocks and charges fees sufficient exclusively to cover costs"</f>
        <v>/\56/\the NYSE is a profit making corporation that seeks profit by providing a fair marketplace for trading stocks/\the NYSE is a non-profit corporation that provides a marketplace for trading stocks and receives government subsidies to cover costs/\the NYSE is a government supported organization whose objective is to provide a fair marketplace for trading stocks/\the NYSE is a non-profit corporation that provides a marketplace for trading stocks and charges fees sufficient exclusively to cover costs/\the NYSE is a government sponsored organization that provides a marketplace for trading stocks and charges fees sufficient exclusively to cover costs</v>
      </c>
      <c r="D451" s="80" t="s">
        <v>2696</v>
      </c>
    </row>
    <row r="452" spans="1:4" ht="16" thickTop="1" x14ac:dyDescent="0.35">
      <c r="B452" s="81" t="str">
        <f ca="1">[1]!simpleV_A($C$451)</f>
        <v>the NYSE is a government supported organization whose objective is to provide a fair marketplace for trading stocks</v>
      </c>
      <c r="C452" s="82"/>
      <c r="D452" s="77"/>
    </row>
    <row r="453" spans="1:4" x14ac:dyDescent="0.35">
      <c r="B453" s="81" t="str">
        <f ca="1">[1]!simpleV_B($C$451)</f>
        <v>the NYSE is a non-profit corporation that provides a marketplace for trading stocks and receives government subsidies to cover costs</v>
      </c>
      <c r="C453" s="82"/>
      <c r="D453" s="77"/>
    </row>
    <row r="454" spans="1:4" x14ac:dyDescent="0.35">
      <c r="B454" s="81" t="str">
        <f ca="1">[1]!simpleV_C($C$451)</f>
        <v>the NYSE is a profit making corporation that seeks profit by providing a fair marketplace for trading stocks</v>
      </c>
      <c r="C454" s="82"/>
      <c r="D454" s="77"/>
    </row>
    <row r="455" spans="1:4" x14ac:dyDescent="0.35">
      <c r="B455" s="81" t="str">
        <f ca="1">[1]!simpleV_D($C$451)</f>
        <v>the NYSE is a government sponsored organization that provides a marketplace for trading stocks and charges fees sufficient exclusively to cover costs</v>
      </c>
      <c r="C455" s="82"/>
      <c r="D455" s="77"/>
    </row>
    <row r="456" spans="1:4" ht="16" thickBot="1" x14ac:dyDescent="0.4">
      <c r="B456" s="83" t="str">
        <f ca="1">[1]!simpleV_E($C$451)</f>
        <v>the NYSE is a non-profit corporation that provides a marketplace for trading stocks and charges fees sufficient exclusively to cover costs</v>
      </c>
      <c r="C456" s="84"/>
      <c r="D456" s="78"/>
    </row>
    <row r="457" spans="1:4" ht="16" thickTop="1" x14ac:dyDescent="0.35"/>
    <row r="459" spans="1:4" ht="16" thickBot="1" x14ac:dyDescent="0.4">
      <c r="A459" s="88" t="s">
        <v>2697</v>
      </c>
    </row>
    <row r="460" spans="1:4" ht="16.5" thickTop="1" thickBot="1" x14ac:dyDescent="0.4">
      <c r="B460" s="76" t="str">
        <f ca="1">[1]!std_ans($C$460)</f>
        <v>B</v>
      </c>
      <c r="C460" s="79" t="str">
        <f ca="1" xml:space="preserve"> "/\" &amp;RANDBETWEEN( 1,120) &amp; "/\" &amp; "the NYSE is a profit making corporation " &amp; "/\" &amp; "average daily volume is about $12 million to $17 million" &amp; "/\" &amp; "small trades execute on the floor through a system of open outcry" &amp; "/\" &amp; "total market capitalization is about $20 million to $25 million" &amp; "/\" &amp; "stocks for about 300,000 companies trade on the NYSE"</f>
        <v>/\97/\the NYSE is a profit making corporation /\average daily volume is about $12 million to $17 million/\small trades execute on the floor through a system of open outcry/\total market capitalization is about $20 million to $25 million/\stocks for about 300,000 companies trade on the NYSE</v>
      </c>
      <c r="D460" s="80" t="s">
        <v>2785</v>
      </c>
    </row>
    <row r="461" spans="1:4" ht="16" thickTop="1" x14ac:dyDescent="0.35">
      <c r="B461" s="81" t="str">
        <f ca="1">[1]!simpleV_A($C$460)</f>
        <v>stocks for about 300,000 companies trade on the NYSE</v>
      </c>
      <c r="C461" s="82"/>
      <c r="D461" s="77"/>
    </row>
    <row r="462" spans="1:4" x14ac:dyDescent="0.35">
      <c r="B462" s="81" t="str">
        <f ca="1">[1]!simpleV_B($C$460)</f>
        <v xml:space="preserve">the NYSE is a profit making corporation </v>
      </c>
      <c r="C462" s="82"/>
      <c r="D462" s="77"/>
    </row>
    <row r="463" spans="1:4" x14ac:dyDescent="0.35">
      <c r="B463" s="81" t="str">
        <f ca="1">[1]!simpleV_C($C$460)</f>
        <v>average daily volume is about $12 million to $17 million</v>
      </c>
      <c r="C463" s="82"/>
      <c r="D463" s="77"/>
    </row>
    <row r="464" spans="1:4" x14ac:dyDescent="0.35">
      <c r="B464" s="81" t="str">
        <f ca="1">[1]!simpleV_D($C$460)</f>
        <v>small trades execute on the floor through a system of open outcry</v>
      </c>
      <c r="C464" s="82"/>
      <c r="D464" s="77"/>
    </row>
    <row r="465" spans="1:4" ht="16" thickBot="1" x14ac:dyDescent="0.4">
      <c r="B465" s="83" t="str">
        <f ca="1">[1]!simpleV_E($C$460)</f>
        <v>total market capitalization is about $20 million to $25 million</v>
      </c>
      <c r="C465" s="84"/>
      <c r="D465" s="78"/>
    </row>
    <row r="466" spans="1:4" ht="16" thickTop="1" x14ac:dyDescent="0.35"/>
    <row r="468" spans="1:4" ht="16" thickBot="1" x14ac:dyDescent="0.4">
      <c r="A468" s="88" t="s">
        <v>2786</v>
      </c>
    </row>
    <row r="469" spans="1:4" ht="16.5" thickTop="1" thickBot="1" x14ac:dyDescent="0.4">
      <c r="B469" s="76" t="str">
        <f ca="1">[1]!alpha_ans($C$469)</f>
        <v>E</v>
      </c>
      <c r="C469" s="79" t="str">
        <f ca="1" xml:space="preserve"> "/\" &amp;RANDBETWEEN( 1,5) &amp; "/\" &amp;RANDBETWEEN( 1,3) &amp; "/\" &amp;RANDBETWEEN( 1,2) &amp; "/\" &amp;"The NASD (National Association of Securities Dealers) created NASDAQ and every securities dealer in the USA that works with the public must belong to NASD" &amp; "/\" &amp; "The NASD (National Association of Securities Dealers) created NASDAQ and securities dealers must join either the NYSE or NASD" &amp; "/\" &amp; "NASDAQ is a complex telecommunications network composed of many market makers on many stocks" &amp; "/\" &amp; "NASDAQ is a stock exchange in Washington DC that markets stocks" &amp; "/\" &amp; "NASDAQ lists stocks for between 3,000 and 5,500 companies" &amp; "/\" &amp; "NASDAQ lists stocks for between 15,000 and 20,000 companies"</f>
        <v>/\5/\1/\2/\The NASD (National Association of Securities Dealers) created NASDAQ and every securities dealer in the USA that works with the public must belong to NASD/\The NASD (National Association of Securities Dealers) created NASDAQ and securities dealers must join either the NYSE or NASD/\NASDAQ is a complex telecommunications network composed of many market makers on many stocks/\NASDAQ is a stock exchange in Washington DC that markets stocks/\NASDAQ lists stocks for between 3,000 and 5,500 companies/\NASDAQ lists stocks for between 15,000 and 20,000 companies</v>
      </c>
      <c r="D469" s="80" t="s">
        <v>2787</v>
      </c>
    </row>
    <row r="470" spans="1:4" ht="16" thickTop="1" x14ac:dyDescent="0.35">
      <c r="B470" s="81" t="str">
        <f ca="1">[1]!complexV_A($C$469)</f>
        <v>The NASD (National Association of Securities Dealers) created NASDAQ and securities dealers must join either the NYSE or NASD</v>
      </c>
      <c r="C470" s="82"/>
      <c r="D470" s="77"/>
    </row>
    <row r="471" spans="1:4" x14ac:dyDescent="0.35">
      <c r="B471" s="81" t="str">
        <f ca="1">[1]!complexV_B($C$469)</f>
        <v>NASDAQ is a stock exchange in Washington DC that markets stocks</v>
      </c>
      <c r="C471" s="82"/>
      <c r="D471" s="77"/>
    </row>
    <row r="472" spans="1:4" x14ac:dyDescent="0.35">
      <c r="B472" s="81" t="str">
        <f ca="1">[1]!complexV_C($C$469)</f>
        <v>NASDAQ lists stocks for between 15,000 and 20,000 companies</v>
      </c>
      <c r="C472" s="82"/>
      <c r="D472" s="77"/>
    </row>
    <row r="473" spans="1:4" x14ac:dyDescent="0.35">
      <c r="B473" s="81" t="str">
        <f ca="1">[1]!complexV_D($C$469)</f>
        <v>Two choices, A and B, are correct</v>
      </c>
      <c r="C473" s="82"/>
      <c r="D473" s="77"/>
    </row>
    <row r="474" spans="1:4" ht="16" thickBot="1" x14ac:dyDescent="0.4">
      <c r="B474" s="83" t="str">
        <f ca="1">[1]!complexV_E($C$469)</f>
        <v>None of the A-B-C choices are correct</v>
      </c>
      <c r="C474" s="84"/>
      <c r="D474" s="78"/>
    </row>
    <row r="475" spans="1:4" ht="16" thickTop="1" x14ac:dyDescent="0.35"/>
    <row r="477" spans="1:4" ht="16" thickBot="1" x14ac:dyDescent="0.4">
      <c r="A477" s="88" t="s">
        <v>2788</v>
      </c>
    </row>
    <row r="478" spans="1:4" ht="16.5" thickTop="1" thickBot="1" x14ac:dyDescent="0.4">
      <c r="B478" s="76" t="str">
        <f ca="1">[1]!alpha_ans($C$478)</f>
        <v>E</v>
      </c>
      <c r="C478" s="79" t="str">
        <f ca="1" xml:space="preserve"> "/\" &amp;RANDBETWEEN( 1,5) &amp; "/\" &amp;RANDBETWEEN( 1,3) &amp; "/\" &amp;RANDBETWEEN( 1,2) &amp; "/\" &amp;"NASDAQ is a market comprised of many market makers for between 3,000 and 5,500 stocks" &amp; "/\" &amp; "NASDAQ is an auction market with open outcry trading" &amp; "/\" &amp; "All brokers and companies in the U.S.A. working with securities and the public are members of NASD" &amp; "/\" &amp; "All brokers and companies in the U.S.A. working with securities and the public must trade securities on NASDAQ" &amp; "/\" &amp; "NASDAQ is a market that lacks a physical exchange floor but has a complex telecommunications network" &amp; "/\" &amp; "NASDAQ  is a market with a physical exchange floor where stocks are traded"</f>
        <v>/\5/\3/\2/\NASDAQ is a market comprised of many market makers for between 3,000 and 5,500 stocks/\NASDAQ is an auction market with open outcry trading/\All brokers and companies in the U.S.A. working with securities and the public are members of NASD/\All brokers and companies in the U.S.A. working with securities and the public must trade securities on NASDAQ/\NASDAQ is a market that lacks a physical exchange floor but has a complex telecommunications network/\NASDAQ  is a market with a physical exchange floor where stocks are traded</v>
      </c>
      <c r="D478" s="80" t="s">
        <v>2789</v>
      </c>
    </row>
    <row r="479" spans="1:4" ht="16" thickTop="1" x14ac:dyDescent="0.35">
      <c r="B479" s="81" t="str">
        <f ca="1">[1]!complexV_A($C$478)</f>
        <v>NASDAQ is an auction market with open outcry trading</v>
      </c>
      <c r="C479" s="82"/>
      <c r="D479" s="77"/>
    </row>
    <row r="480" spans="1:4" x14ac:dyDescent="0.35">
      <c r="B480" s="81" t="str">
        <f ca="1">[1]!complexV_B($C$478)</f>
        <v>All brokers and companies in the U.S.A. working with securities and the public must trade securities on NASDAQ</v>
      </c>
      <c r="C480" s="82"/>
      <c r="D480" s="77"/>
    </row>
    <row r="481" spans="1:4" x14ac:dyDescent="0.35">
      <c r="B481" s="81" t="str">
        <f ca="1">[1]!complexV_C($C$478)</f>
        <v>NASDAQ  is a market with a physical exchange floor where stocks are traded</v>
      </c>
      <c r="C481" s="82"/>
      <c r="D481" s="77"/>
    </row>
    <row r="482" spans="1:4" x14ac:dyDescent="0.35">
      <c r="B482" s="81" t="str">
        <f ca="1">[1]!complexV_D($C$478)</f>
        <v>Two choices, B and C, are correct</v>
      </c>
      <c r="C482" s="82"/>
      <c r="D482" s="77"/>
    </row>
    <row r="483" spans="1:4" ht="16" thickBot="1" x14ac:dyDescent="0.4">
      <c r="B483" s="83" t="str">
        <f ca="1">[1]!complexV_E($C$478)</f>
        <v>None of the A-B-C choices are correct</v>
      </c>
      <c r="C483" s="84"/>
      <c r="D483" s="78"/>
    </row>
    <row r="484" spans="1:4" ht="16" thickTop="1" x14ac:dyDescent="0.35"/>
    <row r="486" spans="1:4" ht="16" thickBot="1" x14ac:dyDescent="0.4">
      <c r="A486" s="88" t="s">
        <v>2790</v>
      </c>
    </row>
    <row r="487" spans="1:4" ht="16.5" thickTop="1" thickBot="1" x14ac:dyDescent="0.4">
      <c r="B487" s="76" t="str">
        <f ca="1">[1]!std_ans($C$487)</f>
        <v>C</v>
      </c>
      <c r="C487" s="79" t="str">
        <f ca="1" xml:space="preserve"> "/\" &amp;RANDBETWEEN( 1,120) &amp; "/\" &amp; "guarantees the financial integrity of every transaction regardless of the trader’s default risk" &amp; "/\" &amp; "guarantees that prices will not move unlawfully" &amp; "/\" &amp; "guarantees that the profit-making exchange will follow federal laws enacted by the Commodity Futures Trade Commission (CFTC) or Securities Exchange Commission (SEC)" &amp; "/\" &amp; "guarantees that every trader makes a profit as long as they follow established trading rules" &amp; "/\" &amp; "guarantees that all traders abide by trading rules established by the Commodity Futures Trade Commission (CFTC) or Securities Exchange Commission (SEC)"</f>
        <v>/\56/\guarantees the financial integrity of every transaction regardless of the trader’s default risk/\guarantees that prices will not move unlawfully/\guarantees that the profit-making exchange will follow federal laws enacted by the Commodity Futures Trade Commission (CFTC) or Securities Exchange Commission (SEC)/\guarantees that every trader makes a profit as long as they follow established trading rules/\guarantees that all traders abide by trading rules established by the Commodity Futures Trade Commission (CFTC) or Securities Exchange Commission (SEC)</v>
      </c>
      <c r="D487" s="80" t="s">
        <v>2791</v>
      </c>
    </row>
    <row r="488" spans="1:4" ht="16" thickTop="1" x14ac:dyDescent="0.35">
      <c r="B488" s="81" t="str">
        <f ca="1">[1]!simpleV_A($C$487)</f>
        <v>guarantees that the profit-making exchange will follow federal laws enacted by the Commodity Futures Trade Commission (CFTC) or Securities Exchange Commission (SEC)</v>
      </c>
      <c r="C488" s="82"/>
      <c r="D488" s="77"/>
    </row>
    <row r="489" spans="1:4" x14ac:dyDescent="0.35">
      <c r="B489" s="81" t="str">
        <f ca="1">[1]!simpleV_B($C$487)</f>
        <v>guarantees that prices will not move unlawfully</v>
      </c>
      <c r="C489" s="82"/>
      <c r="D489" s="77"/>
    </row>
    <row r="490" spans="1:4" x14ac:dyDescent="0.35">
      <c r="B490" s="81" t="str">
        <f ca="1">[1]!simpleV_C($C$487)</f>
        <v>guarantees the financial integrity of every transaction regardless of the trader’s default risk</v>
      </c>
      <c r="C490" s="82"/>
      <c r="D490" s="77"/>
    </row>
    <row r="491" spans="1:4" x14ac:dyDescent="0.35">
      <c r="B491" s="81" t="str">
        <f ca="1">[1]!simpleV_D($C$487)</f>
        <v>guarantees that all traders abide by trading rules established by the Commodity Futures Trade Commission (CFTC) or Securities Exchange Commission (SEC)</v>
      </c>
      <c r="C491" s="82"/>
      <c r="D491" s="77"/>
    </row>
    <row r="492" spans="1:4" ht="16" thickBot="1" x14ac:dyDescent="0.4">
      <c r="B492" s="83" t="str">
        <f ca="1">[1]!simpleV_E($C$487)</f>
        <v>guarantees that every trader makes a profit as long as they follow established trading rules</v>
      </c>
      <c r="C492" s="84"/>
      <c r="D492" s="78"/>
    </row>
    <row r="493" spans="1:4" ht="16" thickTop="1" x14ac:dyDescent="0.35"/>
    <row r="495" spans="1:4" ht="16" thickBot="1" x14ac:dyDescent="0.4">
      <c r="A495" s="88" t="s">
        <v>2792</v>
      </c>
    </row>
    <row r="496" spans="1:4" ht="16.5" thickTop="1" thickBot="1" x14ac:dyDescent="0.4">
      <c r="B496" s="76" t="str">
        <f ca="1">[1]!std_ans($C$496)</f>
        <v>B</v>
      </c>
      <c r="C496" s="79" t="str">
        <f ca="1" xml:space="preserve"> "/\" &amp;RANDBETWEEN( 1,120) &amp; "/\" &amp; "does not make recommendations but simply executes buy and sell orders based solely on customer instructions" &amp; "/\" &amp; "offers recommendations for buying and selling stock, and executes orders at low commission costs" &amp; "/\" &amp; "offers recommendations for buying and selling stocks, and executes orders at discounted stock prices" &amp; "/\" &amp; "executes buy and sell orders for customers based on company research and recommendations" &amp; "/\" &amp; "does not make recommendations but simply executes buy and sell orders at discounted stock prices"</f>
        <v>/\76/\does not make recommendations but simply executes buy and sell orders based solely on customer instructions/\offers recommendations for buying and selling stock, and executes orders at low commission costs/\offers recommendations for buying and selling stocks, and executes orders at discounted stock prices/\executes buy and sell orders for customers based on company research and recommendations/\does not make recommendations but simply executes buy and sell orders at discounted stock prices</v>
      </c>
      <c r="D496" s="80" t="s">
        <v>2793</v>
      </c>
    </row>
    <row r="497" spans="1:4" ht="16" thickTop="1" x14ac:dyDescent="0.35">
      <c r="B497" s="81" t="str">
        <f ca="1">[1]!simpleV_A($C$496)</f>
        <v>executes buy and sell orders for customers based on company research and recommendations</v>
      </c>
      <c r="C497" s="82"/>
      <c r="D497" s="77"/>
    </row>
    <row r="498" spans="1:4" x14ac:dyDescent="0.35">
      <c r="B498" s="81" t="str">
        <f ca="1">[1]!simpleV_B($C$496)</f>
        <v>does not make recommendations but simply executes buy and sell orders based solely on customer instructions</v>
      </c>
      <c r="C498" s="82"/>
      <c r="D498" s="77"/>
    </row>
    <row r="499" spans="1:4" x14ac:dyDescent="0.35">
      <c r="B499" s="81" t="str">
        <f ca="1">[1]!simpleV_C($C$496)</f>
        <v>offers recommendations for buying and selling stocks, and executes orders at discounted stock prices</v>
      </c>
      <c r="C499" s="82"/>
      <c r="D499" s="77"/>
    </row>
    <row r="500" spans="1:4" x14ac:dyDescent="0.35">
      <c r="B500" s="81" t="str">
        <f ca="1">[1]!simpleV_D($C$496)</f>
        <v>does not make recommendations but simply executes buy and sell orders at discounted stock prices</v>
      </c>
      <c r="C500" s="82"/>
      <c r="D500" s="77"/>
    </row>
    <row r="501" spans="1:4" ht="16" thickBot="1" x14ac:dyDescent="0.4">
      <c r="B501" s="83" t="str">
        <f ca="1">[1]!simpleV_E($C$496)</f>
        <v>offers recommendations for buying and selling stock, and executes orders at low commission costs</v>
      </c>
      <c r="C501" s="84"/>
      <c r="D501" s="78"/>
    </row>
    <row r="502" spans="1:4" ht="16" thickTop="1" x14ac:dyDescent="0.35"/>
    <row r="504" spans="1:4" ht="16" thickBot="1" x14ac:dyDescent="0.4">
      <c r="A504" s="88" t="s">
        <v>1877</v>
      </c>
    </row>
    <row r="505" spans="1:4" ht="16.5" thickTop="1" thickBot="1" x14ac:dyDescent="0.4">
      <c r="B505" s="76" t="str">
        <f ca="1">[1]!alpha_ans($C$505)</f>
        <v>E</v>
      </c>
      <c r="C505" s="79" t="str">
        <f ca="1" xml:space="preserve"> "/\" &amp;RANDBETWEEN( 1,5) &amp; "/\" &amp;RANDBETWEEN( 1,3) &amp; "/\" &amp;RANDBETWEEN( 1,2) &amp; "/\" &amp;"does not make recommendations but simply executes orders" &amp; "/\" &amp; "makes buy recommendations and offers low execution costs" &amp; "/\" &amp; "must belong to the National Association of Stock Dealers (NASD)" &amp; "/\" &amp; "is not a member of the National Association of Stock Dealers (NASD) but instead belongs to the Discount Brokerage Assoc." &amp; "/\" &amp; "is prohibited from trading stocks for its own account" &amp; "/\" &amp; "actively trades stocks from its own inventory in order to increase its company profits"</f>
        <v>/\5/\2/\2/\does not make recommendations but simply executes orders/\makes buy recommendations and offers low execution costs/\must belong to the National Association of Stock Dealers (NASD)/\is not a member of the National Association of Stock Dealers (NASD) but instead belongs to the Discount Brokerage Assoc./\is prohibited from trading stocks for its own account/\actively trades stocks from its own inventory in order to increase its company profits</v>
      </c>
      <c r="D505" s="80" t="s">
        <v>2455</v>
      </c>
    </row>
    <row r="506" spans="1:4" ht="16" thickTop="1" x14ac:dyDescent="0.35">
      <c r="B506" s="81" t="str">
        <f ca="1">[1]!complexV_A($C$505)</f>
        <v>makes buy recommendations and offers low execution costs</v>
      </c>
      <c r="C506" s="82"/>
      <c r="D506" s="77"/>
    </row>
    <row r="507" spans="1:4" x14ac:dyDescent="0.35">
      <c r="B507" s="81" t="str">
        <f ca="1">[1]!complexV_B($C$505)</f>
        <v>is not a member of the National Association of Stock Dealers (NASD) but instead belongs to the Discount Brokerage Assoc.</v>
      </c>
      <c r="C507" s="82"/>
      <c r="D507" s="77"/>
    </row>
    <row r="508" spans="1:4" x14ac:dyDescent="0.35">
      <c r="B508" s="81" t="str">
        <f ca="1">[1]!complexV_C($C$505)</f>
        <v>actively trades stocks from its own inventory in order to increase its company profits</v>
      </c>
      <c r="C508" s="82"/>
      <c r="D508" s="77"/>
    </row>
    <row r="509" spans="1:4" x14ac:dyDescent="0.35">
      <c r="B509" s="81" t="str">
        <f ca="1">[1]!complexV_D($C$505)</f>
        <v>Two choices, A and C, are correct</v>
      </c>
      <c r="C509" s="82"/>
      <c r="D509" s="77"/>
    </row>
    <row r="510" spans="1:4" ht="16" thickBot="1" x14ac:dyDescent="0.4">
      <c r="B510" s="83" t="str">
        <f ca="1">[1]!complexV_E($C$505)</f>
        <v>None of the A-B-C choices are correct</v>
      </c>
      <c r="C510" s="84"/>
      <c r="D510" s="78"/>
    </row>
    <row r="511" spans="1:4" ht="16" thickTop="1" x14ac:dyDescent="0.35"/>
    <row r="513" spans="1:4" x14ac:dyDescent="0.35">
      <c r="A513" s="88" t="s">
        <v>29</v>
      </c>
    </row>
    <row r="514" spans="1:4" x14ac:dyDescent="0.35">
      <c r="A514" s="2" t="s">
        <v>30</v>
      </c>
      <c r="B514" s="2" t="s">
        <v>1104</v>
      </c>
    </row>
    <row r="515" spans="1:4" x14ac:dyDescent="0.35">
      <c r="A515" s="2" t="s">
        <v>1105</v>
      </c>
      <c r="B515" s="2" t="s">
        <v>1106</v>
      </c>
    </row>
    <row r="516" spans="1:4" x14ac:dyDescent="0.35">
      <c r="A516" s="2" t="s">
        <v>1573</v>
      </c>
      <c r="B516" s="2" t="s">
        <v>1606</v>
      </c>
    </row>
    <row r="517" spans="1:4" x14ac:dyDescent="0.35">
      <c r="A517" s="2" t="s">
        <v>1607</v>
      </c>
      <c r="B517" s="2" t="s">
        <v>2351</v>
      </c>
    </row>
    <row r="518" spans="1:4" x14ac:dyDescent="0.35">
      <c r="A518" s="2" t="s">
        <v>2352</v>
      </c>
      <c r="B518" s="2" t="s">
        <v>900</v>
      </c>
    </row>
    <row r="519" spans="1:4" x14ac:dyDescent="0.35">
      <c r="A519" s="2" t="s">
        <v>3406</v>
      </c>
      <c r="B519" s="2" t="s">
        <v>3407</v>
      </c>
    </row>
    <row r="520" spans="1:4" x14ac:dyDescent="0.35">
      <c r="A520" s="2" t="s">
        <v>3408</v>
      </c>
      <c r="B520" s="2" t="s">
        <v>3409</v>
      </c>
    </row>
    <row r="521" spans="1:4" x14ac:dyDescent="0.35">
      <c r="A521" s="2" t="s">
        <v>3410</v>
      </c>
      <c r="B521" s="2" t="s">
        <v>2604</v>
      </c>
    </row>
    <row r="522" spans="1:4" x14ac:dyDescent="0.35">
      <c r="A522" s="2" t="s">
        <v>2605</v>
      </c>
      <c r="B522" s="2" t="s">
        <v>1996</v>
      </c>
    </row>
    <row r="523" spans="1:4" x14ac:dyDescent="0.35">
      <c r="A523" s="2" t="s">
        <v>2606</v>
      </c>
      <c r="B523" s="2" t="s">
        <v>3236</v>
      </c>
    </row>
    <row r="524" spans="1:4" ht="16" thickBot="1" x14ac:dyDescent="0.4"/>
    <row r="525" spans="1:4" ht="16.5" thickTop="1" thickBot="1" x14ac:dyDescent="0.4">
      <c r="B525" s="76" t="str">
        <f ca="1">[1]!alpha_ans($C$525)</f>
        <v>D</v>
      </c>
      <c r="C525" s="79" t="str">
        <f ca="1" xml:space="preserve"> "/\" &amp;RANDBETWEEN( 1,5) &amp; "/\" &amp;RANDBETWEEN( 1,120) &amp; "/\" &amp;B515 &amp; "/\" &amp; B514 &amp; "/\" &amp; B517 &amp; "/\" &amp; B516 &amp; "/\" &amp; B519 &amp; "/\" &amp; B518 &amp; "/\" &amp; B521 &amp; "/\" &amp; B520 &amp; "/\" &amp; B523 &amp; "/\" &amp; B522</f>
        <v>/\4/\20/\it has the second largest market capitalization of any stock exchange in the world/\it has the largest  market capitalization of any stock exchange in the world/\securities mostly trade through an electronic telecommunications network without human intervention/\securities mostly trade by open outcry (yelling &amp; screaming)/\daily volume averages $500 billion and about 10,000 securities are listed/\daily volume averages $30-to-$50 billion and about 2,400-to-3,000 securities are listed/\the NYSE asks companies for permission and pays them for the right to trade their securities/\companies must request and pay for their securities to be listed/\the NYSE is a non-profit government sponsored organization/\the NYSE is a profit-making sharholder-owned self-regulatory organization</v>
      </c>
      <c r="D525" s="80" t="s">
        <v>2509</v>
      </c>
    </row>
    <row r="526" spans="1:4" ht="16" thickTop="1" x14ac:dyDescent="0.35">
      <c r="B526" s="81" t="str">
        <f ca="1">[1]!standardV_A($C$525)</f>
        <v>it has the largest  market capitalization of any stock exchange in the world</v>
      </c>
      <c r="C526" s="82"/>
      <c r="D526" s="77"/>
    </row>
    <row r="527" spans="1:4" x14ac:dyDescent="0.35">
      <c r="B527" s="81" t="str">
        <f ca="1">[1]!standardV_B($C$525)</f>
        <v>the NYSE is a profit-making sharholder-owned self-regulatory organization</v>
      </c>
      <c r="C527" s="82"/>
      <c r="D527" s="77"/>
    </row>
    <row r="528" spans="1:4" x14ac:dyDescent="0.35">
      <c r="B528" s="81" t="str">
        <f ca="1">[1]!standardV_C($C$525)</f>
        <v>securities mostly trade by open outcry (yelling &amp; screaming)</v>
      </c>
      <c r="C528" s="82"/>
      <c r="D528" s="77"/>
    </row>
    <row r="529" spans="1:4" x14ac:dyDescent="0.35">
      <c r="B529" s="81" t="str">
        <f ca="1">[1]!standardV_D($C$525)</f>
        <v>the NYSE asks companies for permission and pays them for the right to trade their securities</v>
      </c>
      <c r="C529" s="82"/>
      <c r="D529" s="77"/>
    </row>
    <row r="530" spans="1:4" ht="16" thickBot="1" x14ac:dyDescent="0.4">
      <c r="B530" s="83" t="str">
        <f ca="1">[1]!standardV_E($C$525)</f>
        <v>daily volume averages $30-to-$50 billion and about 2,400-to-3,000 securities are listed</v>
      </c>
      <c r="C530" s="84"/>
      <c r="D530" s="78"/>
    </row>
    <row r="531" spans="1:4" ht="16" thickTop="1" x14ac:dyDescent="0.35"/>
    <row r="533" spans="1:4" x14ac:dyDescent="0.35">
      <c r="A533" s="88" t="s">
        <v>3666</v>
      </c>
    </row>
    <row r="534" spans="1:4" x14ac:dyDescent="0.35">
      <c r="A534" s="6" t="s">
        <v>229</v>
      </c>
      <c r="B534" s="7">
        <f ca="1">RANDBETWEEN(40,60)/1000</f>
        <v>4.9000000000000002E-2</v>
      </c>
    </row>
    <row r="535" spans="1:4" x14ac:dyDescent="0.35">
      <c r="A535" s="6" t="s">
        <v>230</v>
      </c>
      <c r="B535" s="7">
        <f ca="1">RANDBETWEEN(75,100)/1000</f>
        <v>9.0999999999999998E-2</v>
      </c>
    </row>
    <row r="536" spans="1:4" x14ac:dyDescent="0.35">
      <c r="A536" s="6" t="s">
        <v>231</v>
      </c>
      <c r="B536" s="4">
        <f ca="1">(B535-B534)*10000</f>
        <v>419.99999999999994</v>
      </c>
    </row>
    <row r="537" spans="1:4" ht="16" thickBot="1" x14ac:dyDescent="0.4"/>
    <row r="538" spans="1:4" ht="16.5" thickTop="1" thickBot="1" x14ac:dyDescent="0.4">
      <c r="B538" s="76" t="str">
        <f ca="1">[1]!std_ans($C$538)</f>
        <v>D</v>
      </c>
      <c r="C538" s="79" t="str">
        <f ca="1" xml:space="preserve"> "/\" &amp;RANDBETWEEN( 1,120) &amp; "/\" &amp;RANDBETWEEN( 1,120) &amp; "/\" &amp;0.15 &amp; "/\" &amp; B536</f>
        <v>/\63/\68/\0.15/\420</v>
      </c>
      <c r="D538" s="80" t="s">
        <v>3667</v>
      </c>
    </row>
    <row r="539" spans="1:4" ht="16" thickTop="1" x14ac:dyDescent="0.35">
      <c r="B539" s="74">
        <f ca="1">ROUND([1]!stdnum_A($C$538),-1)</f>
        <v>320</v>
      </c>
      <c r="C539" s="82"/>
      <c r="D539" s="77"/>
    </row>
    <row r="540" spans="1:4" x14ac:dyDescent="0.35">
      <c r="B540" s="74">
        <f ca="1">ROUND([1]!stdnum_B($C$538),-1)</f>
        <v>480</v>
      </c>
      <c r="C540" s="82"/>
      <c r="D540" s="77"/>
    </row>
    <row r="541" spans="1:4" x14ac:dyDescent="0.35">
      <c r="B541" s="74">
        <f ca="1">ROUND([1]!stdnum_C($C$538),-1)</f>
        <v>560</v>
      </c>
      <c r="C541" s="82"/>
      <c r="D541" s="77"/>
    </row>
    <row r="542" spans="1:4" x14ac:dyDescent="0.35">
      <c r="B542" s="74">
        <f ca="1">ROUND([1]!stdnum_D($C$538),-1)</f>
        <v>420</v>
      </c>
      <c r="C542" s="82"/>
      <c r="D542" s="77"/>
    </row>
    <row r="543" spans="1:4" ht="16" thickBot="1" x14ac:dyDescent="0.4">
      <c r="B543" s="75">
        <f ca="1">ROUND([1]!stdnum_E($C$538),-1)</f>
        <v>370</v>
      </c>
      <c r="C543" s="84"/>
      <c r="D543" s="78"/>
    </row>
    <row r="544" spans="1:4" ht="16" thickTop="1" x14ac:dyDescent="0.35"/>
    <row r="546" spans="1:4" x14ac:dyDescent="0.35">
      <c r="A546" s="88" t="s">
        <v>448</v>
      </c>
    </row>
    <row r="547" spans="1:4" x14ac:dyDescent="0.35">
      <c r="A547" s="2" t="s">
        <v>30</v>
      </c>
      <c r="B547" s="2" t="s">
        <v>1509</v>
      </c>
    </row>
    <row r="548" spans="1:4" x14ac:dyDescent="0.35">
      <c r="A548" s="2" t="s">
        <v>1105</v>
      </c>
      <c r="B548" s="2" t="s">
        <v>1510</v>
      </c>
    </row>
    <row r="549" spans="1:4" x14ac:dyDescent="0.35">
      <c r="A549" s="2" t="s">
        <v>1573</v>
      </c>
      <c r="B549" s="2" t="s">
        <v>1511</v>
      </c>
    </row>
    <row r="550" spans="1:4" x14ac:dyDescent="0.35">
      <c r="A550" s="2" t="s">
        <v>1607</v>
      </c>
      <c r="B550" s="2" t="s">
        <v>1512</v>
      </c>
    </row>
    <row r="551" spans="1:4" x14ac:dyDescent="0.35">
      <c r="A551" s="2" t="s">
        <v>2352</v>
      </c>
      <c r="B551" s="2" t="s">
        <v>2154</v>
      </c>
    </row>
    <row r="552" spans="1:4" x14ac:dyDescent="0.35">
      <c r="A552" s="2" t="s">
        <v>3406</v>
      </c>
      <c r="B552" s="2" t="s">
        <v>3367</v>
      </c>
    </row>
    <row r="553" spans="1:4" x14ac:dyDescent="0.35">
      <c r="A553" s="2" t="s">
        <v>3408</v>
      </c>
      <c r="B553" s="2" t="s">
        <v>1870</v>
      </c>
    </row>
    <row r="554" spans="1:4" x14ac:dyDescent="0.35">
      <c r="A554" s="2" t="s">
        <v>3410</v>
      </c>
      <c r="B554" s="2" t="s">
        <v>1871</v>
      </c>
    </row>
    <row r="555" spans="1:4" x14ac:dyDescent="0.35">
      <c r="A555" s="2" t="s">
        <v>2605</v>
      </c>
      <c r="B555" s="2" t="s">
        <v>2746</v>
      </c>
    </row>
    <row r="556" spans="1:4" x14ac:dyDescent="0.35">
      <c r="A556" s="2" t="s">
        <v>2606</v>
      </c>
      <c r="B556" s="2" t="s">
        <v>2747</v>
      </c>
    </row>
    <row r="557" spans="1:4" ht="16" thickBot="1" x14ac:dyDescent="0.4"/>
    <row r="558" spans="1:4" ht="16.5" thickTop="1" thickBot="1" x14ac:dyDescent="0.4">
      <c r="B558" s="76" t="str">
        <f ca="1">[1]!alpha_ans($C$558)</f>
        <v>A</v>
      </c>
      <c r="C558" s="79" t="str">
        <f ca="1" xml:space="preserve"> "/\" &amp;RANDBETWEEN( 1,5) &amp; "/\" &amp;RANDBETWEEN( 1,120) &amp; "/\" &amp;B547 &amp; "/\" &amp; B548 &amp; "/\" &amp; B549 &amp; "/\" &amp; B550 &amp; "/\" &amp; B551 &amp; "/\" &amp; B552 &amp; "/\" &amp; B553 &amp; "/\" &amp; B554 &amp; "/\" &amp; B555 &amp; "/\" &amp; B556</f>
        <v>/\1/\23/\A disadvantage of the corporation is that it has relatively high organizational costs./\An advantage of the corporation is that it has relatively low organizational costs./\A disadvantage of the sole proprietorship is that they do not offer limited liability to the owners./\An advantage of the sole proprietorship is that they offer limited liability to the owner./\A disadvantage of the sole proprietorship is that they generally do not offer easy transferability of ownership./\An advantage of the sole proprietorship is that they do not generally offer easy transferability of ownership./\A disadvantage of the corporation is that they are subject to relatively complex government regulations./\An advantage of the corporation is that they are subject to relatively fewer government regulations./\An advantage of the corporation is that they raise capital more easily./\A disadvantage of the corporation is that they raise capital more easily.</v>
      </c>
      <c r="D558" s="80" t="s">
        <v>2748</v>
      </c>
    </row>
    <row r="559" spans="1:4" ht="16" thickTop="1" x14ac:dyDescent="0.35">
      <c r="B559" s="81" t="str">
        <f ca="1">[1]!standardV_A($C$558)</f>
        <v>A disadvantage of the corporation is that it has relatively high organizational costs.</v>
      </c>
      <c r="C559" s="82"/>
      <c r="D559" s="77"/>
    </row>
    <row r="560" spans="1:4" x14ac:dyDescent="0.35">
      <c r="B560" s="81" t="str">
        <f ca="1">[1]!standardV_B($C$558)</f>
        <v>A disadvantage of the corporation is that they raise capital more easily.</v>
      </c>
      <c r="C560" s="82"/>
      <c r="D560" s="77"/>
    </row>
    <row r="561" spans="1:4" x14ac:dyDescent="0.35">
      <c r="B561" s="81" t="str">
        <f ca="1">[1]!standardV_C($C$558)</f>
        <v>An advantage of the corporation is that they are subject to relatively fewer government regulations.</v>
      </c>
      <c r="C561" s="82"/>
      <c r="D561" s="77"/>
    </row>
    <row r="562" spans="1:4" x14ac:dyDescent="0.35">
      <c r="B562" s="81" t="str">
        <f ca="1">[1]!standardV_D($C$558)</f>
        <v>An advantage of the sole proprietorship is that they offer limited liability to the owner.</v>
      </c>
      <c r="C562" s="82"/>
      <c r="D562" s="77"/>
    </row>
    <row r="563" spans="1:4" ht="16" thickBot="1" x14ac:dyDescent="0.4">
      <c r="B563" s="83" t="str">
        <f ca="1">[1]!standardV_E($C$558)</f>
        <v>An advantage of the sole proprietorship is that they do not generally offer easy transferability of ownership.</v>
      </c>
      <c r="C563" s="84"/>
      <c r="D563" s="78"/>
    </row>
    <row r="564" spans="1:4" ht="16" thickTop="1" x14ac:dyDescent="0.35"/>
    <row r="566" spans="1:4" x14ac:dyDescent="0.35">
      <c r="A566" s="88" t="s">
        <v>2749</v>
      </c>
    </row>
    <row r="567" spans="1:4" x14ac:dyDescent="0.35">
      <c r="A567" s="36" t="s">
        <v>2711</v>
      </c>
      <c r="B567" s="65" t="s">
        <v>3336</v>
      </c>
    </row>
    <row r="568" spans="1:4" x14ac:dyDescent="0.35">
      <c r="A568" s="36" t="s">
        <v>1881</v>
      </c>
      <c r="B568" s="65" t="s">
        <v>3625</v>
      </c>
    </row>
    <row r="569" spans="1:4" x14ac:dyDescent="0.35">
      <c r="A569" s="71" t="s">
        <v>2713</v>
      </c>
      <c r="B569" s="71" t="s">
        <v>762</v>
      </c>
    </row>
    <row r="570" spans="1:4" ht="16" thickBot="1" x14ac:dyDescent="0.4"/>
    <row r="571" spans="1:4" ht="16.5" thickTop="1" thickBot="1" x14ac:dyDescent="0.4">
      <c r="B571" s="76" t="str">
        <f ca="1">[1]!std_ans($C$571)</f>
        <v>D</v>
      </c>
      <c r="C571" s="79" t="str">
        <f ca="1" xml:space="preserve"> "/\" &amp;RANDBETWEEN( 1,120) &amp; "/\" &amp;RANDBETWEEN( 1,3) &amp; "/\" &amp;RANDBETWEEN( 1,2) &amp; "/\" &amp;RANDBETWEEN( 1,2) &amp; "/\" &amp;RANDBETWEEN( 1,8)  &amp; "/\" &amp; A567 &amp; "/\" &amp; A568 &amp; "/\" &amp; A569 &amp; "/\" &amp; B567 &amp; "/\" &amp; B568 &amp; "/\" &amp; B569 &amp; "/\" &amp; "WW"</f>
        <v>/\69/\2/\2/\1/\1/\weak/\semi-strong/\strong/\calendar and stock market data/\calendar, stock market, and all publicly available data/\calendar, stock market, and all public and privately available data/\WW</v>
      </c>
      <c r="D571" s="80" t="s">
        <v>2750</v>
      </c>
    </row>
    <row r="572" spans="1:4" ht="16" thickTop="1" x14ac:dyDescent="0.35">
      <c r="B572" s="81" t="str">
        <f ca="1">[1]!threepairs_A($C$571)</f>
        <v>strong</v>
      </c>
      <c r="C572" s="82" t="str">
        <f ca="1">[1]!threepairs_A2($C$571)</f>
        <v>calendar and stock market data</v>
      </c>
      <c r="D572" s="77"/>
    </row>
    <row r="573" spans="1:4" x14ac:dyDescent="0.35">
      <c r="B573" s="81" t="str">
        <f ca="1">[1]!threepairs_B($C$571)</f>
        <v>weak</v>
      </c>
      <c r="C573" s="82" t="str">
        <f ca="1">[1]!threepairs_B2($C$571)</f>
        <v>calendar, stock market, and all publicly available data</v>
      </c>
      <c r="D573" s="77"/>
    </row>
    <row r="574" spans="1:4" x14ac:dyDescent="0.35">
      <c r="B574" s="81" t="str">
        <f ca="1">[1]!threepairs_C($C$571)</f>
        <v>weak</v>
      </c>
      <c r="C574" s="82" t="str">
        <f ca="1">[1]!threepairs_C2($C$571)</f>
        <v>calendar, stock market, and all public and privately available data</v>
      </c>
      <c r="D574" s="77"/>
    </row>
    <row r="575" spans="1:4" x14ac:dyDescent="0.35">
      <c r="B575" s="81" t="str">
        <f ca="1">[1]!threepairs_D($C$571)</f>
        <v>semi-strong</v>
      </c>
      <c r="C575" s="82" t="str">
        <f ca="1">[1]!threepairs_D2($C$571)</f>
        <v>calendar, stock market, and all publicly available data</v>
      </c>
      <c r="D575" s="77"/>
    </row>
    <row r="576" spans="1:4" ht="16" thickBot="1" x14ac:dyDescent="0.4">
      <c r="B576" s="83" t="str">
        <f ca="1">[1]!threepairs_E($C$571)</f>
        <v>semi-strong</v>
      </c>
      <c r="C576" s="84" t="str">
        <f ca="1">[1]!threepairs_E2($C$571)</f>
        <v>calendar, stock market, and all public and privately available data</v>
      </c>
      <c r="D576" s="78"/>
    </row>
    <row r="577" spans="1:4" ht="16" thickTop="1" x14ac:dyDescent="0.35"/>
    <row r="579" spans="1:4" x14ac:dyDescent="0.35">
      <c r="A579" s="121" t="s">
        <v>3411</v>
      </c>
    </row>
    <row r="580" spans="1:4" x14ac:dyDescent="0.35">
      <c r="A580" s="36" t="s">
        <v>1784</v>
      </c>
      <c r="B580" s="65" t="s">
        <v>3326</v>
      </c>
    </row>
    <row r="581" spans="1:4" x14ac:dyDescent="0.35">
      <c r="A581" s="36" t="s">
        <v>1785</v>
      </c>
      <c r="B581" s="65" t="s">
        <v>3327</v>
      </c>
    </row>
    <row r="582" spans="1:4" x14ac:dyDescent="0.35">
      <c r="A582" s="71" t="s">
        <v>1786</v>
      </c>
      <c r="B582" s="71" t="s">
        <v>3328</v>
      </c>
    </row>
    <row r="583" spans="1:4" ht="16" thickBot="1" x14ac:dyDescent="0.4"/>
    <row r="584" spans="1:4" ht="16.5" thickTop="1" thickBot="1" x14ac:dyDescent="0.4">
      <c r="B584" s="76" t="str">
        <f ca="1">[1]!std_ans($C$584)</f>
        <v>C</v>
      </c>
      <c r="C584" s="79" t="str">
        <f ca="1" xml:space="preserve"> "/\" &amp;RANDBETWEEN( 1,120) &amp; "/\" &amp;RANDBETWEEN( 1,3) &amp; "/\" &amp;RANDBETWEEN( 1,2) &amp; "/\" &amp;RANDBETWEEN( 1,2) &amp; "/\" &amp;RANDBETWEEN( 1,8)  &amp; "/\" &amp; A580 &amp; "/\" &amp; A581 &amp; "/\" &amp; A582 &amp; "/\" &amp; B580 &amp; "/\" &amp; B581 &amp; "/\" &amp; B582 &amp; "/\" &amp; "WW"</f>
        <v>/\92/\3/\2/\1/\1/\Burton Malkiel/\Benjamin Graham/\Harry Markowitz/\the efficient markets hypothesis/\applied investment theory/\modern portfolio theory/\WW</v>
      </c>
      <c r="D584" s="80" t="s">
        <v>3412</v>
      </c>
    </row>
    <row r="585" spans="1:4" ht="16" thickTop="1" x14ac:dyDescent="0.35">
      <c r="B585" s="81" t="str">
        <f ca="1">[1]!threepairs_A($C$584)</f>
        <v>Harry Markowitz</v>
      </c>
      <c r="C585" s="82" t="str">
        <f ca="1">[1]!threepairs_A2($C$584)</f>
        <v>applied investment theory</v>
      </c>
      <c r="D585" s="77"/>
    </row>
    <row r="586" spans="1:4" x14ac:dyDescent="0.35">
      <c r="B586" s="81" t="str">
        <f ca="1">[1]!threepairs_B($C$584)</f>
        <v>Burton Malkiel</v>
      </c>
      <c r="C586" s="82" t="str">
        <f ca="1">[1]!threepairs_B2($C$584)</f>
        <v>modern portfolio theory</v>
      </c>
      <c r="D586" s="77"/>
    </row>
    <row r="587" spans="1:4" x14ac:dyDescent="0.35">
      <c r="B587" s="81" t="str">
        <f ca="1">[1]!threepairs_C($C$584)</f>
        <v>Harry Markowitz</v>
      </c>
      <c r="C587" s="82" t="str">
        <f ca="1">[1]!threepairs_C2($C$584)</f>
        <v>modern portfolio theory</v>
      </c>
      <c r="D587" s="77"/>
    </row>
    <row r="588" spans="1:4" x14ac:dyDescent="0.35">
      <c r="B588" s="81" t="str">
        <f ca="1">[1]!threepairs_D($C$584)</f>
        <v>Benjamin Graham</v>
      </c>
      <c r="C588" s="82" t="str">
        <f ca="1">[1]!threepairs_D2($C$584)</f>
        <v>the efficient markets hypothesis</v>
      </c>
      <c r="D588" s="77"/>
    </row>
    <row r="589" spans="1:4" ht="16" thickBot="1" x14ac:dyDescent="0.4">
      <c r="B589" s="83" t="str">
        <f ca="1">[1]!threepairs_E($C$584)</f>
        <v>Burton Malkiel</v>
      </c>
      <c r="C589" s="84" t="str">
        <f ca="1">[1]!threepairs_E2($C$584)</f>
        <v>applied investment theory</v>
      </c>
      <c r="D589" s="78"/>
    </row>
    <row r="590" spans="1:4" ht="16" thickTop="1" x14ac:dyDescent="0.35"/>
    <row r="592" spans="1:4" x14ac:dyDescent="0.35">
      <c r="A592" s="88" t="s">
        <v>325</v>
      </c>
    </row>
    <row r="593" spans="1:4" x14ac:dyDescent="0.35">
      <c r="A593" s="2" t="s">
        <v>30</v>
      </c>
      <c r="B593" s="2" t="s">
        <v>739</v>
      </c>
    </row>
    <row r="594" spans="1:4" x14ac:dyDescent="0.35">
      <c r="A594" s="2" t="s">
        <v>1105</v>
      </c>
      <c r="B594" s="2" t="s">
        <v>1958</v>
      </c>
    </row>
    <row r="595" spans="1:4" x14ac:dyDescent="0.35">
      <c r="A595" s="2" t="s">
        <v>1573</v>
      </c>
      <c r="B595" s="2" t="s">
        <v>740</v>
      </c>
    </row>
    <row r="596" spans="1:4" x14ac:dyDescent="0.35">
      <c r="A596" s="2" t="s">
        <v>1607</v>
      </c>
      <c r="B596" s="2" t="s">
        <v>1772</v>
      </c>
    </row>
    <row r="597" spans="1:4" x14ac:dyDescent="0.35">
      <c r="A597" s="2" t="s">
        <v>2352</v>
      </c>
      <c r="B597" s="2" t="s">
        <v>1286</v>
      </c>
    </row>
    <row r="598" spans="1:4" x14ac:dyDescent="0.35">
      <c r="A598" s="2" t="s">
        <v>3406</v>
      </c>
      <c r="B598" s="2" t="s">
        <v>2414</v>
      </c>
    </row>
    <row r="599" spans="1:4" x14ac:dyDescent="0.35">
      <c r="A599" s="2" t="s">
        <v>3408</v>
      </c>
      <c r="B599" s="2" t="s">
        <v>527</v>
      </c>
    </row>
    <row r="600" spans="1:4" x14ac:dyDescent="0.35">
      <c r="A600" s="2" t="s">
        <v>3410</v>
      </c>
      <c r="B600" s="2" t="s">
        <v>1969</v>
      </c>
    </row>
    <row r="601" spans="1:4" x14ac:dyDescent="0.35">
      <c r="A601" s="2" t="s">
        <v>2605</v>
      </c>
      <c r="B601" s="2" t="s">
        <v>2903</v>
      </c>
    </row>
    <row r="602" spans="1:4" x14ac:dyDescent="0.35">
      <c r="A602" s="2" t="s">
        <v>2606</v>
      </c>
      <c r="B602" s="2" t="s">
        <v>2904</v>
      </c>
    </row>
    <row r="603" spans="1:4" ht="16" thickBot="1" x14ac:dyDescent="0.4"/>
    <row r="604" spans="1:4" ht="16.5" thickTop="1" thickBot="1" x14ac:dyDescent="0.4">
      <c r="B604" s="76" t="str">
        <f ca="1">[1]!alpha_ans($C$604)</f>
        <v>D</v>
      </c>
      <c r="C604" s="79" t="str">
        <f ca="1" xml:space="preserve"> "/\" &amp;RANDBETWEEN( 1,5) &amp; "/\" &amp;RANDBETWEEN( 1,120) &amp; "/\" &amp;B594 &amp; "/\" &amp; B593 &amp; "/\" &amp; B596 &amp; "/\" &amp; B595 &amp; "/\" &amp; B598 &amp; "/\" &amp; B597 &amp; "/\" &amp; B600 &amp; "/\" &amp; B599 &amp; "/\" &amp; B602 &amp; "/\" &amp; B601</f>
        <v>/\4/\92/\an asset-backed bond may give the bond-holder cash flows paid by companies on loans financing pension expenditures/\an asset-backed bond may give the bond-holder cash flows paid by consumers toward credit card debt/\an asset-backed bond may give the bond-holder cash flows paid by the U.S. Treasury on loans for infrastructure investments/\an asset-backed bond may give the bond-holder cash flows paid by homeowners on home mortgage loans/\an asset-backed bond may give the bond-holder cash flows paid by state governments on loans for highway improvements/\an asset-backed bond may give the bond-holder cash flows paid by consumers toward automobile loans/\an asset-backed bond may give the bond-holder cash flows paid by non-profit organizations on loans for establishing endowments/\an asset-backed bond may give the bond-holder cash flows paid by homeowners toward loans on manufactured homes/\an asset-backed bond may give the bond-holder cash flows paid by publicly traded corporations for loans financing capital investments/\an asset-backed bond may give the bond-holder cash flows paid by college graduates on student loans</v>
      </c>
      <c r="D604" s="80" t="s">
        <v>2905</v>
      </c>
    </row>
    <row r="605" spans="1:4" ht="16" thickTop="1" x14ac:dyDescent="0.35">
      <c r="B605" s="81" t="str">
        <f ca="1">[1]!standardV_A($C$604)</f>
        <v>an asset-backed bond may give the bond-holder cash flows paid by homeowners toward loans on manufactured homes</v>
      </c>
      <c r="C605" s="82"/>
      <c r="D605" s="77"/>
    </row>
    <row r="606" spans="1:4" x14ac:dyDescent="0.35">
      <c r="B606" s="81" t="str">
        <f ca="1">[1]!standardV_B($C$604)</f>
        <v>an asset-backed bond may give the bond-holder cash flows paid by college graduates on student loans</v>
      </c>
      <c r="C606" s="82"/>
      <c r="D606" s="77"/>
    </row>
    <row r="607" spans="1:4" x14ac:dyDescent="0.35">
      <c r="B607" s="81" t="str">
        <f ca="1">[1]!standardV_C($C$604)</f>
        <v>an asset-backed bond may give the bond-holder cash flows paid by consumers toward credit card debt</v>
      </c>
      <c r="C607" s="82"/>
      <c r="D607" s="77"/>
    </row>
    <row r="608" spans="1:4" x14ac:dyDescent="0.35">
      <c r="B608" s="81" t="str">
        <f ca="1">[1]!standardV_D($C$604)</f>
        <v>an asset-backed bond may give the bond-holder cash flows paid by state governments on loans for highway improvements</v>
      </c>
      <c r="C608" s="82"/>
      <c r="D608" s="77"/>
    </row>
    <row r="609" spans="1:4" ht="16" thickBot="1" x14ac:dyDescent="0.4">
      <c r="B609" s="83" t="str">
        <f ca="1">[1]!standardV_E($C$604)</f>
        <v>an asset-backed bond may give the bond-holder cash flows paid by homeowners on home mortgage loans</v>
      </c>
      <c r="C609" s="84"/>
      <c r="D609" s="78"/>
    </row>
    <row r="610" spans="1:4" ht="16" thickTop="1" x14ac:dyDescent="0.35"/>
    <row r="612" spans="1:4" x14ac:dyDescent="0.35">
      <c r="A612" s="88" t="s">
        <v>2906</v>
      </c>
    </row>
    <row r="613" spans="1:4" x14ac:dyDescent="0.35">
      <c r="A613" s="2" t="s">
        <v>30</v>
      </c>
      <c r="B613" s="2" t="s">
        <v>2907</v>
      </c>
    </row>
    <row r="614" spans="1:4" x14ac:dyDescent="0.35">
      <c r="A614" s="2" t="s">
        <v>1105</v>
      </c>
      <c r="B614" s="2" t="s">
        <v>1970</v>
      </c>
    </row>
    <row r="615" spans="1:4" x14ac:dyDescent="0.35">
      <c r="A615" s="2" t="s">
        <v>1573</v>
      </c>
      <c r="B615" s="2" t="s">
        <v>1971</v>
      </c>
    </row>
    <row r="616" spans="1:4" x14ac:dyDescent="0.35">
      <c r="A616" s="2" t="s">
        <v>1607</v>
      </c>
      <c r="B616" s="2" t="s">
        <v>1972</v>
      </c>
    </row>
    <row r="617" spans="1:4" x14ac:dyDescent="0.35">
      <c r="A617" s="2" t="s">
        <v>2352</v>
      </c>
      <c r="B617" s="2" t="s">
        <v>1298</v>
      </c>
    </row>
    <row r="618" spans="1:4" x14ac:dyDescent="0.35">
      <c r="A618" s="2" t="s">
        <v>3406</v>
      </c>
      <c r="B618" s="2" t="s">
        <v>1973</v>
      </c>
    </row>
    <row r="619" spans="1:4" x14ac:dyDescent="0.35">
      <c r="A619" s="2" t="s">
        <v>3408</v>
      </c>
      <c r="B619" s="2" t="s">
        <v>660</v>
      </c>
    </row>
    <row r="620" spans="1:4" x14ac:dyDescent="0.35">
      <c r="A620" s="2" t="s">
        <v>3410</v>
      </c>
      <c r="B620" s="2" t="s">
        <v>659</v>
      </c>
    </row>
    <row r="621" spans="1:4" x14ac:dyDescent="0.35">
      <c r="A621" s="2" t="s">
        <v>2605</v>
      </c>
      <c r="B621" s="2" t="s">
        <v>1687</v>
      </c>
    </row>
    <row r="622" spans="1:4" x14ac:dyDescent="0.35">
      <c r="A622" s="2" t="s">
        <v>2606</v>
      </c>
      <c r="B622" s="2" t="s">
        <v>1688</v>
      </c>
    </row>
    <row r="623" spans="1:4" ht="16" thickBot="1" x14ac:dyDescent="0.4"/>
    <row r="624" spans="1:4" ht="16.5" thickTop="1" thickBot="1" x14ac:dyDescent="0.4">
      <c r="B624" s="76" t="str">
        <f ca="1">[1]!alpha_ans($C$624)</f>
        <v>B</v>
      </c>
      <c r="C624" s="79" t="str">
        <f ca="1" xml:space="preserve"> "/\" &amp;RANDBETWEEN( 1,5) &amp; "/\" &amp;RANDBETWEEN( 1,120) &amp; "/\" &amp;B613 &amp; "/\" &amp; B614 &amp; "/\" &amp; B615 &amp; "/\" &amp; B616 &amp; "/\" &amp; B617 &amp; "/\" &amp; B618 &amp; "/\" &amp; B619 &amp; "/\" &amp; B620 &amp; "/\" &amp; B621 &amp; "/\" &amp; B622</f>
        <v>/\2/\17/\NYSE has largest market cap in the USA/\NYSE has second largest market cap in the USA/\Superdot is an electronic system handling small NYSE trades/\Superdot is an electronic system handling all NYSE trades/\stocks listed on the NYSE represent companies that satisfy stringent exchange requirements and request their stocks be listed/\the government requires that the NYSE trade any company requesting listing/\NYSE traders are primarily employees of institutions (like Merrill Lynch) that purchase and own seats/\Federal anti-monopoly laws require that the NYSE provide trading floor access to anyone wanting to trade stocks/\specialists are exchange members to whom the NYSE assigns responsibility for maintaining a fair and orderly market/\specialists are government employees whose responsibility is maintaining a fair and orderly market</v>
      </c>
      <c r="D624" s="80" t="s">
        <v>1974</v>
      </c>
    </row>
    <row r="625" spans="1:4" ht="16" thickTop="1" x14ac:dyDescent="0.35">
      <c r="B625" s="81" t="str">
        <f ca="1">[1]!standardV_A($C$624)</f>
        <v>NYSE has second largest market cap in the USA</v>
      </c>
      <c r="C625" s="82"/>
      <c r="D625" s="77"/>
    </row>
    <row r="626" spans="1:4" x14ac:dyDescent="0.35">
      <c r="B626" s="81" t="str">
        <f ca="1">[1]!standardV_B($C$624)</f>
        <v>NYSE traders are primarily employees of institutions (like Merrill Lynch) that purchase and own seats</v>
      </c>
      <c r="C626" s="82"/>
      <c r="D626" s="77"/>
    </row>
    <row r="627" spans="1:4" x14ac:dyDescent="0.35">
      <c r="B627" s="81" t="str">
        <f ca="1">[1]!standardV_C($C$624)</f>
        <v>specialists are government employees whose responsibility is maintaining a fair and orderly market</v>
      </c>
      <c r="C627" s="82"/>
      <c r="D627" s="77"/>
    </row>
    <row r="628" spans="1:4" x14ac:dyDescent="0.35">
      <c r="B628" s="81" t="str">
        <f ca="1">[1]!standardV_D($C$624)</f>
        <v>Superdot is an electronic system handling all NYSE trades</v>
      </c>
      <c r="C628" s="82"/>
      <c r="D628" s="77"/>
    </row>
    <row r="629" spans="1:4" ht="16" thickBot="1" x14ac:dyDescent="0.4">
      <c r="B629" s="83" t="str">
        <f ca="1">[1]!standardV_E($C$624)</f>
        <v>the government requires that the NYSE trade any company requesting listing</v>
      </c>
      <c r="C629" s="84"/>
      <c r="D629" s="78"/>
    </row>
    <row r="630" spans="1:4" ht="16" thickTop="1" x14ac:dyDescent="0.35"/>
    <row r="632" spans="1:4" x14ac:dyDescent="0.35">
      <c r="A632" s="88" t="s">
        <v>1697</v>
      </c>
    </row>
    <row r="633" spans="1:4" x14ac:dyDescent="0.35">
      <c r="A633" s="2" t="s">
        <v>30</v>
      </c>
      <c r="B633" s="2" t="s">
        <v>3560</v>
      </c>
    </row>
    <row r="634" spans="1:4" x14ac:dyDescent="0.35">
      <c r="A634" s="2" t="s">
        <v>1105</v>
      </c>
      <c r="B634" s="2" t="s">
        <v>1994</v>
      </c>
    </row>
    <row r="635" spans="1:4" x14ac:dyDescent="0.35">
      <c r="A635" s="2" t="s">
        <v>1573</v>
      </c>
      <c r="B635" s="2" t="s">
        <v>865</v>
      </c>
    </row>
    <row r="636" spans="1:4" x14ac:dyDescent="0.35">
      <c r="A636" s="2" t="s">
        <v>1607</v>
      </c>
      <c r="B636" s="2" t="s">
        <v>2990</v>
      </c>
    </row>
    <row r="637" spans="1:4" x14ac:dyDescent="0.35">
      <c r="A637" s="2" t="s">
        <v>2352</v>
      </c>
      <c r="B637" s="2" t="s">
        <v>363</v>
      </c>
    </row>
    <row r="638" spans="1:4" x14ac:dyDescent="0.35">
      <c r="A638" s="2" t="s">
        <v>3406</v>
      </c>
      <c r="B638" s="2" t="s">
        <v>2029</v>
      </c>
    </row>
    <row r="639" spans="1:4" x14ac:dyDescent="0.35">
      <c r="A639" s="2" t="s">
        <v>3408</v>
      </c>
      <c r="B639" s="2" t="s">
        <v>830</v>
      </c>
    </row>
    <row r="640" spans="1:4" x14ac:dyDescent="0.35">
      <c r="A640" s="2" t="s">
        <v>3410</v>
      </c>
      <c r="B640" s="2" t="s">
        <v>1749</v>
      </c>
    </row>
    <row r="641" spans="1:4" x14ac:dyDescent="0.35">
      <c r="A641" s="2" t="s">
        <v>2605</v>
      </c>
      <c r="B641" s="2" t="s">
        <v>1743</v>
      </c>
    </row>
    <row r="642" spans="1:4" x14ac:dyDescent="0.35">
      <c r="A642" s="2" t="s">
        <v>2606</v>
      </c>
      <c r="B642" s="2" t="s">
        <v>1744</v>
      </c>
    </row>
    <row r="643" spans="1:4" ht="16" thickBot="1" x14ac:dyDescent="0.4"/>
    <row r="644" spans="1:4" ht="16.5" thickTop="1" thickBot="1" x14ac:dyDescent="0.4">
      <c r="B644" s="76" t="str">
        <f ca="1">[1]!alpha_ans($C$644)</f>
        <v>B</v>
      </c>
      <c r="C644" s="79" t="str">
        <f ca="1" xml:space="preserve"> "/\" &amp;RANDBETWEEN( 1,5) &amp; "/\" &amp;RANDBETWEEN( 1,120) &amp; "/\" &amp;B633 &amp; "/\" &amp; B634 &amp; "/\" &amp; B635 &amp; "/\" &amp; B636 &amp; "/\" &amp; B637 &amp; "/\" &amp; B638 &amp; "/\" &amp; B639 &amp; "/\" &amp; B640 &amp; "/\" &amp; B641 &amp; "/\" &amp; B642</f>
        <v>/\2/\31/\most trades on the NYSE execute by open outcry whereas on NASDAQ they execute electronically/\trades execute on the NASDAQ by open outcry whereas on the NYSE they execute electronically/\the NYSE comprises a physical location whereas NASDAQ is a sophisticated telecommunications network/\the NASDAQ comprises a physical location whereas the NYSE is only a sophisticated telecommunications network/\the average daily dollar volume in recent years was greater on the NYSE than on NASDAQ/\the average daily dollar volume in recent years was greater on the NASDAQ than on the NYSE/\the total market capitalization of listed companies is less on NASDAQ than on the NYSE/\the total market capitalization of listed companies is less on the NYSE than on NASDAQ/\the number of listed companies is greater on NASDAQ than on the NYSE/\the number of listed companies is greater on the NYSE than on NASDAQ</v>
      </c>
      <c r="D644" s="80" t="s">
        <v>1745</v>
      </c>
    </row>
    <row r="645" spans="1:4" ht="16" thickTop="1" x14ac:dyDescent="0.35">
      <c r="B645" s="81" t="str">
        <f ca="1">[1]!standardV_A($C$644)</f>
        <v>the NASDAQ comprises a physical location whereas the NYSE is only a sophisticated telecommunications network</v>
      </c>
      <c r="C645" s="82"/>
      <c r="D645" s="77"/>
    </row>
    <row r="646" spans="1:4" x14ac:dyDescent="0.35">
      <c r="B646" s="81" t="str">
        <f ca="1">[1]!standardV_B($C$644)</f>
        <v>the average daily dollar volume in recent years was greater on the NYSE than on NASDAQ</v>
      </c>
      <c r="C646" s="82"/>
      <c r="D646" s="77"/>
    </row>
    <row r="647" spans="1:4" x14ac:dyDescent="0.35">
      <c r="B647" s="81" t="str">
        <f ca="1">[1]!standardV_C($C$644)</f>
        <v>trades execute on the NASDAQ by open outcry whereas on the NYSE they execute electronically</v>
      </c>
      <c r="C647" s="82"/>
      <c r="D647" s="77"/>
    </row>
    <row r="648" spans="1:4" x14ac:dyDescent="0.35">
      <c r="B648" s="81" t="str">
        <f ca="1">[1]!standardV_D($C$644)</f>
        <v>the total market capitalization of listed companies is less on the NYSE than on NASDAQ</v>
      </c>
      <c r="C648" s="82"/>
      <c r="D648" s="77"/>
    </row>
    <row r="649" spans="1:4" ht="16" thickBot="1" x14ac:dyDescent="0.4">
      <c r="B649" s="83" t="str">
        <f ca="1">[1]!standardV_E($C$644)</f>
        <v>the number of listed companies is greater on the NYSE than on NASDAQ</v>
      </c>
      <c r="C649" s="84"/>
      <c r="D649" s="78"/>
    </row>
    <row r="650" spans="1:4" ht="16" thickTop="1" x14ac:dyDescent="0.35"/>
    <row r="652" spans="1:4" x14ac:dyDescent="0.35">
      <c r="A652" s="88" t="s">
        <v>2360</v>
      </c>
    </row>
    <row r="653" spans="1:4" x14ac:dyDescent="0.35">
      <c r="A653" s="2" t="s">
        <v>30</v>
      </c>
      <c r="B653" s="2" t="s">
        <v>1698</v>
      </c>
    </row>
    <row r="654" spans="1:4" x14ac:dyDescent="0.35">
      <c r="A654" s="2" t="s">
        <v>1105</v>
      </c>
      <c r="B654" s="2" t="s">
        <v>1994</v>
      </c>
    </row>
    <row r="655" spans="1:4" x14ac:dyDescent="0.35">
      <c r="A655" s="2" t="s">
        <v>1573</v>
      </c>
      <c r="B655" s="2" t="s">
        <v>865</v>
      </c>
    </row>
    <row r="656" spans="1:4" x14ac:dyDescent="0.35">
      <c r="A656" s="2" t="s">
        <v>1607</v>
      </c>
      <c r="B656" s="2" t="s">
        <v>2990</v>
      </c>
    </row>
    <row r="657" spans="1:4" x14ac:dyDescent="0.35">
      <c r="A657" s="2" t="s">
        <v>2352</v>
      </c>
      <c r="B657" s="2" t="s">
        <v>1468</v>
      </c>
    </row>
    <row r="658" spans="1:4" x14ac:dyDescent="0.35">
      <c r="A658" s="2" t="s">
        <v>3406</v>
      </c>
      <c r="B658" s="2" t="s">
        <v>1469</v>
      </c>
    </row>
    <row r="659" spans="1:4" x14ac:dyDescent="0.35">
      <c r="A659" s="2" t="s">
        <v>3408</v>
      </c>
      <c r="B659" s="2" t="s">
        <v>1470</v>
      </c>
    </row>
    <row r="660" spans="1:4" x14ac:dyDescent="0.35">
      <c r="A660" s="2" t="s">
        <v>3410</v>
      </c>
      <c r="B660" s="2" t="s">
        <v>1471</v>
      </c>
    </row>
    <row r="661" spans="1:4" x14ac:dyDescent="0.35">
      <c r="A661" s="2" t="s">
        <v>2605</v>
      </c>
      <c r="B661" s="2" t="s">
        <v>1743</v>
      </c>
    </row>
    <row r="662" spans="1:4" x14ac:dyDescent="0.35">
      <c r="A662" s="2" t="s">
        <v>2606</v>
      </c>
      <c r="B662" s="2" t="s">
        <v>1744</v>
      </c>
    </row>
    <row r="663" spans="1:4" ht="16" thickBot="1" x14ac:dyDescent="0.4"/>
    <row r="664" spans="1:4" ht="16.5" thickTop="1" thickBot="1" x14ac:dyDescent="0.4">
      <c r="B664" s="76" t="str">
        <f ca="1">[1]!alpha_ans($C$664)</f>
        <v>D</v>
      </c>
      <c r="C664" s="79" t="str">
        <f ca="1" xml:space="preserve"> "/\" &amp;RANDBETWEEN( 1,5) &amp; "/\" &amp;RANDBETWEEN( 1,120) &amp; "/\" &amp;B653 &amp; "/\" &amp; B654 &amp; "/\" &amp; B655 &amp; "/\" &amp; B656 &amp; "/\" &amp; B657 &amp; "/\" &amp; B658 &amp; "/\" &amp; B659 &amp; "/\" &amp; B660 &amp; "/\" &amp; B661 &amp; "/\" &amp; B662</f>
        <v>/\4/\116/\trades execute on the NYSE by open outcry whereas on NASDAQ they execute electronically/\trades execute on the NASDAQ by open outcry whereas on the NYSE they execute electronically/\the NYSE comprises a physical location whereas NASDAQ is a sophisticated telecommunications network/\the NASDAQ comprises a physical location whereas the NYSE is only a sophisticated telecommunications network/\the average daily dollar volume in recent years is greater on the NYSE than on NASDAQ/\the average daily dollar volume in recent years is greater on the NASDAQ than on the NYSE/\the amount of funds raised through initial public offerings in recent years is roughly equal (although NYSE raised a little more)/\the amount of funds raised through initial public offerings in recent years is much greater on NASDAQ than on the NYSE/\the number of listed companies is greater on NASDAQ than on the NYSE/\the number of listed companies is greater on the NYSE than on NASDAQ</v>
      </c>
      <c r="D664" s="80" t="s">
        <v>3682</v>
      </c>
    </row>
    <row r="665" spans="1:4" ht="16" thickTop="1" x14ac:dyDescent="0.35">
      <c r="B665" s="81" t="str">
        <f ca="1">[1]!standardV_A($C$664)</f>
        <v>the number of listed companies is greater on the NYSE than on NASDAQ</v>
      </c>
      <c r="C665" s="82"/>
      <c r="D665" s="77"/>
    </row>
    <row r="666" spans="1:4" x14ac:dyDescent="0.35">
      <c r="B666" s="81" t="str">
        <f ca="1">[1]!standardV_B($C$664)</f>
        <v>the amount of funds raised through initial public offerings in recent years is much greater on NASDAQ than on the NYSE</v>
      </c>
      <c r="C666" s="82"/>
      <c r="D666" s="77"/>
    </row>
    <row r="667" spans="1:4" x14ac:dyDescent="0.35">
      <c r="B667" s="81" t="str">
        <f ca="1">[1]!standardV_C($C$664)</f>
        <v>trades execute on the NASDAQ by open outcry whereas on the NYSE they execute electronically</v>
      </c>
      <c r="C667" s="82"/>
      <c r="D667" s="77"/>
    </row>
    <row r="668" spans="1:4" x14ac:dyDescent="0.35">
      <c r="B668" s="81" t="str">
        <f ca="1">[1]!standardV_D($C$664)</f>
        <v>the average daily dollar volume in recent years is greater on the NYSE than on NASDAQ</v>
      </c>
      <c r="C668" s="82"/>
      <c r="D668" s="77"/>
    </row>
    <row r="669" spans="1:4" ht="16" thickBot="1" x14ac:dyDescent="0.4">
      <c r="B669" s="83" t="str">
        <f ca="1">[1]!standardV_E($C$664)</f>
        <v>the NASDAQ comprises a physical location whereas the NYSE is only a sophisticated telecommunications network</v>
      </c>
      <c r="C669" s="84"/>
      <c r="D669" s="78"/>
    </row>
    <row r="670" spans="1:4" ht="16" thickTop="1" x14ac:dyDescent="0.35"/>
    <row r="672" spans="1:4" x14ac:dyDescent="0.35">
      <c r="A672" s="88" t="s">
        <v>3068</v>
      </c>
    </row>
    <row r="673" spans="1:4" x14ac:dyDescent="0.35">
      <c r="A673" s="2" t="s">
        <v>30</v>
      </c>
      <c r="B673" s="2" t="s">
        <v>2005</v>
      </c>
    </row>
    <row r="674" spans="1:4" x14ac:dyDescent="0.35">
      <c r="A674" s="2" t="s">
        <v>1105</v>
      </c>
      <c r="B674" s="2" t="s">
        <v>2006</v>
      </c>
    </row>
    <row r="675" spans="1:4" x14ac:dyDescent="0.35">
      <c r="A675" s="2" t="s">
        <v>1573</v>
      </c>
      <c r="B675" s="2" t="s">
        <v>2007</v>
      </c>
    </row>
    <row r="676" spans="1:4" x14ac:dyDescent="0.35">
      <c r="A676" s="2" t="s">
        <v>1607</v>
      </c>
      <c r="B676" s="2" t="s">
        <v>846</v>
      </c>
    </row>
    <row r="677" spans="1:4" x14ac:dyDescent="0.35">
      <c r="A677" s="2" t="s">
        <v>2352</v>
      </c>
      <c r="B677" s="2" t="s">
        <v>847</v>
      </c>
    </row>
    <row r="678" spans="1:4" x14ac:dyDescent="0.35">
      <c r="A678" s="2" t="s">
        <v>3406</v>
      </c>
      <c r="B678" s="2" t="s">
        <v>849</v>
      </c>
    </row>
    <row r="679" spans="1:4" x14ac:dyDescent="0.35">
      <c r="A679" s="2" t="s">
        <v>3408</v>
      </c>
      <c r="B679" s="2" t="s">
        <v>3147</v>
      </c>
    </row>
    <row r="680" spans="1:4" x14ac:dyDescent="0.35">
      <c r="A680" s="2" t="s">
        <v>3410</v>
      </c>
      <c r="B680" s="2" t="s">
        <v>2433</v>
      </c>
    </row>
    <row r="681" spans="1:4" x14ac:dyDescent="0.35">
      <c r="A681" s="2" t="s">
        <v>2605</v>
      </c>
      <c r="B681" s="2" t="s">
        <v>42</v>
      </c>
    </row>
    <row r="682" spans="1:4" x14ac:dyDescent="0.35">
      <c r="A682" s="2" t="s">
        <v>2606</v>
      </c>
      <c r="B682" s="2" t="s">
        <v>43</v>
      </c>
    </row>
    <row r="683" spans="1:4" ht="16" thickBot="1" x14ac:dyDescent="0.4"/>
    <row r="684" spans="1:4" ht="16.5" thickTop="1" thickBot="1" x14ac:dyDescent="0.4">
      <c r="B684" s="76" t="str">
        <f ca="1">[1]!alpha_ans($C$684)</f>
        <v>D</v>
      </c>
      <c r="C684" s="79" t="str">
        <f ca="1" xml:space="preserve"> "/\" &amp;RANDBETWEEN( 1,5) &amp; "/\" &amp;RANDBETWEEN( 1,120) &amp; "/\" &amp;B673 &amp; "/\" &amp; B674 &amp; "/\" &amp; B675 &amp; "/\" &amp; B676 &amp; "/\" &amp; B677 &amp; "/\" &amp; B678 &amp; "/\" &amp; B679 &amp; "/\" &amp; B680 &amp; "/\" &amp; B681 &amp; "/\" &amp; B682</f>
        <v>/\4/\18/\a growth fund invests in companies expecting higher than average revenue and earnings growth/\a growth fund invests in companies with growing profit margins/\an equity income fund invests in stocks with high dividend yields/\an equity income fund invests in stocks with high amounts of net income/\an emerging market fund invests in stocks from rapidly growing but lesser developed economies/\an emerging market fund invests in stocks from international highly developed leading economies/\a balanced fund invests in a both stocks and bonds with the purpose of preserving capital/\a balanced fund invests in stocks from a balanced cross-section of the economy/\a sector fund invests in stocks from a fairly narrow line of business/\a sector fund invests in stocks from a narrow geographical sector of the country</v>
      </c>
      <c r="D684" s="80" t="s">
        <v>44</v>
      </c>
    </row>
    <row r="685" spans="1:4" ht="16" thickTop="1" x14ac:dyDescent="0.35">
      <c r="B685" s="81" t="str">
        <f ca="1">[1]!standardV_A($C$684)</f>
        <v>a growth fund invests in companies with growing profit margins</v>
      </c>
      <c r="C685" s="82"/>
      <c r="D685" s="77"/>
    </row>
    <row r="686" spans="1:4" x14ac:dyDescent="0.35">
      <c r="B686" s="81" t="str">
        <f ca="1">[1]!standardV_B($C$684)</f>
        <v>a balanced fund invests in stocks from a balanced cross-section of the economy</v>
      </c>
      <c r="C686" s="82"/>
      <c r="D686" s="77"/>
    </row>
    <row r="687" spans="1:4" x14ac:dyDescent="0.35">
      <c r="B687" s="81" t="str">
        <f ca="1">[1]!standardV_C($C$684)</f>
        <v>a sector fund invests in stocks from a narrow geographical sector of the country</v>
      </c>
      <c r="C687" s="82"/>
      <c r="D687" s="77"/>
    </row>
    <row r="688" spans="1:4" x14ac:dyDescent="0.35">
      <c r="B688" s="81" t="str">
        <f ca="1">[1]!standardV_D($C$684)</f>
        <v>an emerging market fund invests in stocks from rapidly growing but lesser developed economies</v>
      </c>
      <c r="C688" s="82"/>
      <c r="D688" s="77"/>
    </row>
    <row r="689" spans="1:4" ht="16" thickBot="1" x14ac:dyDescent="0.4">
      <c r="B689" s="83" t="str">
        <f ca="1">[1]!standardV_E($C$684)</f>
        <v>an equity income fund invests in stocks with high amounts of net income</v>
      </c>
      <c r="C689" s="84"/>
      <c r="D689" s="78"/>
    </row>
    <row r="690" spans="1:4" ht="16" thickTop="1" x14ac:dyDescent="0.35"/>
    <row r="692" spans="1:4" ht="16" thickBot="1" x14ac:dyDescent="0.4">
      <c r="A692" s="88" t="s">
        <v>45</v>
      </c>
    </row>
    <row r="693" spans="1:4" ht="16.5" thickTop="1" thickBot="1" x14ac:dyDescent="0.4">
      <c r="B693" s="76" t="str">
        <f ca="1">[1]!std_ans($C$693)</f>
        <v>A</v>
      </c>
      <c r="C693" s="79" t="str">
        <f ca="1" xml:space="preserve"> "/\" &amp;RANDBETWEEN( 1,120) &amp; "/\" &amp; " the total market value of stocks owned by the fund, minus the fund's liabilities, divided by the number of fund shares issued to mutual fund investors" &amp; "/\" &amp; "the number of shares owned by the fund, multiplied by the mutual fund shareprice, divided by the number of fund shares issued to mutual fund investors" &amp; "/\" &amp; " the mutual fund shareprice multiplied by the number of shares outstanding" &amp; "/\" &amp; "the shareprice of stocks owned by the fund, multiplied by the number of fund shares issued to mutual fund investors, divided by the number of shares owned by the fund" &amp; "/\" &amp; "the mutual fund's gross investment in plant, property, and equipment minus accumulated depreciation"</f>
        <v>/\12/\ the total market value of stocks owned by the fund, minus the fund's liabilities, divided by the number of fund shares issued to mutual fund investors/\the number of shares owned by the fund, multiplied by the mutual fund shareprice, divided by the number of fund shares issued to mutual fund investors/\ the mutual fund shareprice multiplied by the number of shares outstanding/\the shareprice of stocks owned by the fund, multiplied by the number of fund shares issued to mutual fund investors, divided by the number of shares owned by the fund/\the mutual fund's gross investment in plant, property, and equipment minus accumulated depreciation</v>
      </c>
      <c r="D693" s="80" t="s">
        <v>46</v>
      </c>
    </row>
    <row r="694" spans="1:4" ht="16" thickTop="1" x14ac:dyDescent="0.35">
      <c r="B694" s="81" t="str">
        <f ca="1">[1]!simpleV_A($C$693)</f>
        <v xml:space="preserve"> the total market value of stocks owned by the fund, minus the fund's liabilities, divided by the number of fund shares issued to mutual fund investors</v>
      </c>
      <c r="C694" s="82"/>
      <c r="D694" s="77"/>
    </row>
    <row r="695" spans="1:4" x14ac:dyDescent="0.35">
      <c r="B695" s="81" t="str">
        <f ca="1">[1]!simpleV_B($C$693)</f>
        <v xml:space="preserve"> the mutual fund shareprice multiplied by the number of shares outstanding</v>
      </c>
      <c r="C695" s="82"/>
      <c r="D695" s="77"/>
    </row>
    <row r="696" spans="1:4" x14ac:dyDescent="0.35">
      <c r="B696" s="81" t="str">
        <f ca="1">[1]!simpleV_C($C$693)</f>
        <v>the mutual fund's gross investment in plant, property, and equipment minus accumulated depreciation</v>
      </c>
      <c r="C696" s="82"/>
      <c r="D696" s="77"/>
    </row>
    <row r="697" spans="1:4" x14ac:dyDescent="0.35">
      <c r="B697" s="81" t="str">
        <f ca="1">[1]!simpleV_D($C$693)</f>
        <v>the shareprice of stocks owned by the fund, multiplied by the number of fund shares issued to mutual fund investors, divided by the number of shares owned by the fund</v>
      </c>
      <c r="C697" s="82"/>
      <c r="D697" s="77"/>
    </row>
    <row r="698" spans="1:4" ht="16" thickBot="1" x14ac:dyDescent="0.4">
      <c r="B698" s="83" t="str">
        <f ca="1">[1]!simpleV_E($C$693)</f>
        <v>the number of shares owned by the fund, multiplied by the mutual fund shareprice, divided by the number of fund shares issued to mutual fund investors</v>
      </c>
      <c r="C698" s="84"/>
      <c r="D698" s="78"/>
    </row>
    <row r="699" spans="1:4" ht="16" thickTop="1" x14ac:dyDescent="0.35"/>
    <row r="701" spans="1:4" ht="16" thickBot="1" x14ac:dyDescent="0.4">
      <c r="A701" s="88" t="s">
        <v>1913</v>
      </c>
    </row>
    <row r="702" spans="1:4" ht="16.5" thickTop="1" thickBot="1" x14ac:dyDescent="0.4">
      <c r="B702" s="76" t="str">
        <f ca="1">[1]!std_ans($C$702)</f>
        <v>D</v>
      </c>
      <c r="C702" s="79" t="str">
        <f ca="1" xml:space="preserve"> "/\" &amp;RANDBETWEEN( 1,120) &amp; "/\" &amp; "the fund’s primary liability includes shares issued by the fund to investors such as you, me, or institutional investors" &amp; "/\" &amp; "the fund’s primary liability includes cash that it must pay to investors such as you, me, or institutional investors" &amp; "/\" &amp; "the fund’s primary asset includes cash that it must pay to investors such as you, me, or institutional investors" &amp; "/\" &amp; "the fund’s primary asset includes shares issued by the fund to investors such as you, me, or institutional investors" &amp; "/\" &amp; "the fund’s primary liability includes equities issued by telecommunications companies such as AT&amp;T, Sprint, etc."</f>
        <v>/\119/\the fund’s primary liability includes shares issued by the fund to investors such as you, me, or institutional investors/\the fund’s primary liability includes cash that it must pay to investors such as you, me, or institutional investors/\the fund’s primary asset includes cash that it must pay to investors such as you, me, or institutional investors/\the fund’s primary asset includes shares issued by the fund to investors such as you, me, or institutional investors/\the fund’s primary liability includes equities issued by telecommunications companies such as AT&amp;T, Sprint, etc.</v>
      </c>
      <c r="D702" s="80" t="s">
        <v>1914</v>
      </c>
    </row>
    <row r="703" spans="1:4" ht="16" thickTop="1" x14ac:dyDescent="0.35">
      <c r="B703" s="81" t="str">
        <f ca="1">[1]!simpleV_A($C$702)</f>
        <v>the fund’s primary liability includes equities issued by telecommunications companies such as AT&amp;T, Sprint, etc.</v>
      </c>
      <c r="C703" s="82"/>
      <c r="D703" s="77"/>
    </row>
    <row r="704" spans="1:4" x14ac:dyDescent="0.35">
      <c r="B704" s="81" t="str">
        <f ca="1">[1]!simpleV_B($C$702)</f>
        <v>the fund’s primary asset includes shares issued by the fund to investors such as you, me, or institutional investors</v>
      </c>
      <c r="C704" s="82"/>
      <c r="D704" s="77"/>
    </row>
    <row r="705" spans="1:4" x14ac:dyDescent="0.35">
      <c r="B705" s="81" t="str">
        <f ca="1">[1]!simpleV_C($C$702)</f>
        <v>the fund’s primary asset includes cash that it must pay to investors such as you, me, or institutional investors</v>
      </c>
      <c r="C705" s="82"/>
      <c r="D705" s="77"/>
    </row>
    <row r="706" spans="1:4" x14ac:dyDescent="0.35">
      <c r="B706" s="81" t="str">
        <f ca="1">[1]!simpleV_D($C$702)</f>
        <v>the fund’s primary liability includes shares issued by the fund to investors such as you, me, or institutional investors</v>
      </c>
      <c r="C706" s="82"/>
      <c r="D706" s="77"/>
    </row>
    <row r="707" spans="1:4" ht="16" thickBot="1" x14ac:dyDescent="0.4">
      <c r="B707" s="83" t="str">
        <f ca="1">[1]!simpleV_E($C$702)</f>
        <v>the fund’s primary liability includes cash that it must pay to investors such as you, me, or institutional investors</v>
      </c>
      <c r="C707" s="84"/>
      <c r="D707" s="78"/>
    </row>
    <row r="708" spans="1:4" ht="16" thickTop="1" x14ac:dyDescent="0.35"/>
    <row r="710" spans="1:4" ht="16" thickBot="1" x14ac:dyDescent="0.4">
      <c r="A710" s="88" t="s">
        <v>1915</v>
      </c>
    </row>
    <row r="711" spans="1:4" ht="16.5" thickTop="1" thickBot="1" x14ac:dyDescent="0.4">
      <c r="B711" s="76" t="str">
        <f ca="1">[1]!std_ans($C$711)</f>
        <v>E</v>
      </c>
      <c r="C711" s="79" t="str">
        <f ca="1" xml:space="preserve"> "/\" &amp;RANDBETWEEN( 1,120) &amp; "/\" &amp; "defined contribution plan with significant tax deferral advantages" &amp; "/\" &amp; "defined benefit plan with significant tax deferral advantages" &amp; "/\" &amp; "a defined benefit plan in which the employee receives matching contributions from the employer, but the employee must pay taxes on the matching contributions" &amp; "/\" &amp; "defined benefit plan in which the employer promises the employee specific retirement annuity benefits" &amp; "/\" &amp; "defined contribution plan in which the employer promises the employee specific retirement annuity benefits"</f>
        <v>/\108/\defined contribution plan with significant tax deferral advantages/\defined benefit plan with significant tax deferral advantages/\a defined benefit plan in which the employee receives matching contributions from the employer, but the employee must pay taxes on the matching contributions/\defined benefit plan in which the employer promises the employee specific retirement annuity benefits/\defined contribution plan in which the employer promises the employee specific retirement annuity benefits</v>
      </c>
      <c r="D711" s="80" t="s">
        <v>1639</v>
      </c>
    </row>
    <row r="712" spans="1:4" ht="16" thickTop="1" x14ac:dyDescent="0.35">
      <c r="B712" s="81" t="str">
        <f ca="1">[1]!simpleV_A($C$711)</f>
        <v>defined contribution plan in which the employer promises the employee specific retirement annuity benefits</v>
      </c>
      <c r="C712" s="82"/>
      <c r="D712" s="77"/>
    </row>
    <row r="713" spans="1:4" x14ac:dyDescent="0.35">
      <c r="B713" s="81" t="str">
        <f ca="1">[1]!simpleV_B($C$711)</f>
        <v>defined benefit plan with significant tax deferral advantages</v>
      </c>
      <c r="C713" s="82"/>
      <c r="D713" s="77"/>
    </row>
    <row r="714" spans="1:4" x14ac:dyDescent="0.35">
      <c r="B714" s="81" t="str">
        <f ca="1">[1]!simpleV_C($C$711)</f>
        <v>defined benefit plan in which the employer promises the employee specific retirement annuity benefits</v>
      </c>
      <c r="C714" s="82"/>
      <c r="D714" s="77"/>
    </row>
    <row r="715" spans="1:4" x14ac:dyDescent="0.35">
      <c r="B715" s="81" t="str">
        <f ca="1">[1]!simpleV_D($C$711)</f>
        <v>a defined benefit plan in which the employee receives matching contributions from the employer, but the employee must pay taxes on the matching contributions</v>
      </c>
      <c r="C715" s="82"/>
      <c r="D715" s="77"/>
    </row>
    <row r="716" spans="1:4" ht="16" thickBot="1" x14ac:dyDescent="0.4">
      <c r="B716" s="83" t="str">
        <f ca="1">[1]!simpleV_E($C$711)</f>
        <v>defined contribution plan with significant tax deferral advantages</v>
      </c>
      <c r="C716" s="84"/>
      <c r="D716" s="78"/>
    </row>
    <row r="717" spans="1:4" ht="16" thickTop="1" x14ac:dyDescent="0.35"/>
    <row r="719" spans="1:4" ht="16" thickBot="1" x14ac:dyDescent="0.4">
      <c r="A719" s="88" t="s">
        <v>1269</v>
      </c>
    </row>
    <row r="720" spans="1:4" ht="16.5" thickTop="1" thickBot="1" x14ac:dyDescent="0.4">
      <c r="B720" s="76" t="str">
        <f ca="1">[1]!alpha_ans($C$720)</f>
        <v>D</v>
      </c>
      <c r="C720" s="79" t="str">
        <f ca="1" xml:space="preserve"> "/\" &amp;RANDBETWEEN( 1,5) &amp; "/\" &amp;RANDBETWEEN( 1,3) &amp; "/\" &amp;RANDBETWEEN( 1,2) &amp; "/\" &amp;"The 401k plan is a defined contribution plan that is the most common pension plan in the USA today" &amp; "/\" &amp; "The 401k plan is a defined benefit plan that is the most common pension plan in the USA today" &amp; "/\" &amp; "In a 401k plan employee contributions reduce current employee income taxes because contributions are tax-deferrals" &amp; "/\" &amp; "In a 401k plan employer contributions increase the employee's current taxable income" &amp; "/\" &amp; "Companies used to offer employees defined benefit plans but, as time goes on, defined contribution plans are becoming more common" &amp; "/\" &amp; "Companies used to offer employees defined contribution plans but, as time goes on, defined benefit plans are becoming more common"</f>
        <v>/\4/\3/\2/\The 401k plan is a defined contribution plan that is the most common pension plan in the USA today/\The 401k plan is a defined benefit plan that is the most common pension plan in the USA today/\In a 401k plan employee contributions reduce current employee income taxes because contributions are tax-deferrals/\In a 401k plan employer contributions increase the employee's current taxable income/\Companies used to offer employees defined benefit plans but, as time goes on, defined contribution plans are becoming more common/\Companies used to offer employees defined contribution plans but, as time goes on, defined benefit plans are becoming more common</v>
      </c>
      <c r="D720" s="80" t="s">
        <v>1270</v>
      </c>
    </row>
    <row r="721" spans="1:4" ht="16" thickTop="1" x14ac:dyDescent="0.35">
      <c r="B721" s="81" t="str">
        <f ca="1">[1]!complexV_A($C$720)</f>
        <v>The 401k plan is a defined benefit plan that is the most common pension plan in the USA today</v>
      </c>
      <c r="C721" s="82"/>
      <c r="D721" s="77"/>
    </row>
    <row r="722" spans="1:4" x14ac:dyDescent="0.35">
      <c r="B722" s="81" t="str">
        <f ca="1">[1]!complexV_B($C$720)</f>
        <v>In a 401k plan employee contributions reduce current employee income taxes because contributions are tax-deferrals</v>
      </c>
      <c r="C722" s="82"/>
      <c r="D722" s="77"/>
    </row>
    <row r="723" spans="1:4" x14ac:dyDescent="0.35">
      <c r="B723" s="81" t="str">
        <f ca="1">[1]!complexV_C($C$720)</f>
        <v>Companies used to offer employees defined benefit plans but, as time goes on, defined contribution plans are becoming more common</v>
      </c>
      <c r="C723" s="82"/>
      <c r="D723" s="77"/>
    </row>
    <row r="724" spans="1:4" x14ac:dyDescent="0.35">
      <c r="B724" s="81" t="str">
        <f ca="1">[1]!complexV_D($C$720)</f>
        <v>Two choices, B and C, are correct</v>
      </c>
      <c r="C724" s="82"/>
      <c r="D724" s="77"/>
    </row>
    <row r="725" spans="1:4" ht="16" thickBot="1" x14ac:dyDescent="0.4">
      <c r="B725" s="83" t="str">
        <f ca="1">[1]!complexV_E($C$720)</f>
        <v>None of the A-B-C choices are correct</v>
      </c>
      <c r="C725" s="84"/>
      <c r="D725" s="78"/>
    </row>
    <row r="726" spans="1:4" ht="16" thickTop="1" x14ac:dyDescent="0.35"/>
    <row r="728" spans="1:4" x14ac:dyDescent="0.35">
      <c r="A728" s="88" t="s">
        <v>1271</v>
      </c>
    </row>
    <row r="729" spans="1:4" x14ac:dyDescent="0.35">
      <c r="A729" s="2" t="s">
        <v>30</v>
      </c>
      <c r="B729" s="2" t="s">
        <v>3106</v>
      </c>
    </row>
    <row r="730" spans="1:4" x14ac:dyDescent="0.35">
      <c r="A730" s="2" t="s">
        <v>1105</v>
      </c>
      <c r="B730" s="2" t="s">
        <v>252</v>
      </c>
    </row>
    <row r="731" spans="1:4" x14ac:dyDescent="0.35">
      <c r="A731" s="2" t="s">
        <v>1573</v>
      </c>
      <c r="B731" s="2" t="s">
        <v>2504</v>
      </c>
    </row>
    <row r="732" spans="1:4" x14ac:dyDescent="0.35">
      <c r="A732" s="2" t="s">
        <v>1607</v>
      </c>
      <c r="B732" s="2" t="s">
        <v>418</v>
      </c>
    </row>
    <row r="733" spans="1:4" x14ac:dyDescent="0.35">
      <c r="A733" s="2" t="s">
        <v>2352</v>
      </c>
      <c r="B733" s="2" t="s">
        <v>3120</v>
      </c>
    </row>
    <row r="734" spans="1:4" x14ac:dyDescent="0.35">
      <c r="A734" s="2" t="s">
        <v>3406</v>
      </c>
      <c r="B734" s="2" t="s">
        <v>3121</v>
      </c>
    </row>
    <row r="735" spans="1:4" x14ac:dyDescent="0.35">
      <c r="A735" s="2" t="s">
        <v>3408</v>
      </c>
      <c r="B735" s="2" t="s">
        <v>3122</v>
      </c>
    </row>
    <row r="736" spans="1:4" x14ac:dyDescent="0.35">
      <c r="A736" s="2" t="s">
        <v>3410</v>
      </c>
      <c r="B736" s="2" t="s">
        <v>3123</v>
      </c>
    </row>
    <row r="737" spans="1:4" x14ac:dyDescent="0.35">
      <c r="A737" s="2" t="s">
        <v>2605</v>
      </c>
      <c r="B737" s="2" t="s">
        <v>3124</v>
      </c>
    </row>
    <row r="738" spans="1:4" x14ac:dyDescent="0.35">
      <c r="A738" s="2" t="s">
        <v>2606</v>
      </c>
      <c r="B738" s="2" t="s">
        <v>3125</v>
      </c>
    </row>
    <row r="739" spans="1:4" ht="16" thickBot="1" x14ac:dyDescent="0.4"/>
    <row r="740" spans="1:4" ht="16.5" thickTop="1" thickBot="1" x14ac:dyDescent="0.4">
      <c r="B740" s="76" t="str">
        <f ca="1">[1]!alpha_ans($C$740)</f>
        <v>A</v>
      </c>
      <c r="C740" s="79" t="str">
        <f ca="1" xml:space="preserve"> "/\" &amp;RANDBETWEEN( 1,5) &amp; "/\" &amp;RANDBETWEEN( 1,120) &amp; "/\" &amp;B729 &amp; "/\" &amp; B730 &amp; "/\" &amp; B731 &amp; "/\" &amp; B732 &amp; "/\" &amp; B733 &amp; "/\" &amp; B734 &amp; "/\" &amp; B735 &amp; "/\" &amp; B736 &amp; "/\" &amp; B737 &amp; "/\" &amp; B738</f>
        <v>/\1/\70/\generally they are extremely involved in managerial decision-making/\typically they take a hands-off attitude and let management operate unfettered/\usually their plans involve liquidating their investment after 4 to 7 years/\usually their plans involve a lifetime commitment to helping the company/\venture financing typically involves an equity-stake in the company/\venture financing typically is like a loan with fixed interest payments and repayment of principal/\venture financing typically goes to small or mid-sized companies with a lot of potential/\venture financing typically goes to established large companies with impressive histories/\venture financing represents a relatively small sum when compared to the larger banks and public capital markets/\venture financing represents more than half of all money borrowed by US companies</v>
      </c>
      <c r="D740" s="80" t="s">
        <v>972</v>
      </c>
    </row>
    <row r="741" spans="1:4" ht="16" thickTop="1" x14ac:dyDescent="0.35">
      <c r="B741" s="81" t="str">
        <f ca="1">[1]!standardV_A($C$740)</f>
        <v>venture financing typically involves an equity-stake in the company</v>
      </c>
      <c r="C741" s="82"/>
      <c r="D741" s="77"/>
    </row>
    <row r="742" spans="1:4" x14ac:dyDescent="0.35">
      <c r="B742" s="81" t="str">
        <f ca="1">[1]!standardV_B($C$740)</f>
        <v>venture financing represents more than half of all money borrowed by US companies</v>
      </c>
      <c r="C742" s="82"/>
      <c r="D742" s="77"/>
    </row>
    <row r="743" spans="1:4" x14ac:dyDescent="0.35">
      <c r="B743" s="81" t="str">
        <f ca="1">[1]!standardV_C($C$740)</f>
        <v>usually their plans involve a lifetime commitment to helping the company</v>
      </c>
      <c r="C743" s="82"/>
      <c r="D743" s="77"/>
    </row>
    <row r="744" spans="1:4" x14ac:dyDescent="0.35">
      <c r="B744" s="81" t="str">
        <f ca="1">[1]!standardV_D($C$740)</f>
        <v>venture financing typically goes to established large companies with impressive histories</v>
      </c>
      <c r="C744" s="82"/>
      <c r="D744" s="77"/>
    </row>
    <row r="745" spans="1:4" ht="16" thickBot="1" x14ac:dyDescent="0.4">
      <c r="B745" s="83" t="str">
        <f ca="1">[1]!standardV_E($C$740)</f>
        <v>typically they take a hands-off attitude and let management operate unfettered</v>
      </c>
      <c r="C745" s="84"/>
      <c r="D745" s="78"/>
    </row>
    <row r="746" spans="1:4" ht="16" thickTop="1" x14ac:dyDescent="0.35"/>
    <row r="748" spans="1:4" x14ac:dyDescent="0.35">
      <c r="A748" s="88" t="s">
        <v>1946</v>
      </c>
    </row>
    <row r="749" spans="1:4" x14ac:dyDescent="0.35">
      <c r="A749" s="2" t="s">
        <v>30</v>
      </c>
      <c r="B749" s="2" t="s">
        <v>2194</v>
      </c>
    </row>
    <row r="750" spans="1:4" x14ac:dyDescent="0.35">
      <c r="A750" s="2" t="s">
        <v>1105</v>
      </c>
      <c r="B750" s="2" t="s">
        <v>3434</v>
      </c>
    </row>
    <row r="751" spans="1:4" x14ac:dyDescent="0.35">
      <c r="A751" s="2" t="s">
        <v>1573</v>
      </c>
      <c r="B751" s="2" t="s">
        <v>431</v>
      </c>
    </row>
    <row r="752" spans="1:4" x14ac:dyDescent="0.35">
      <c r="A752" s="2" t="s">
        <v>1607</v>
      </c>
      <c r="B752" s="2" t="s">
        <v>432</v>
      </c>
    </row>
    <row r="753" spans="1:4" x14ac:dyDescent="0.35">
      <c r="A753" s="2" t="s">
        <v>2352</v>
      </c>
      <c r="B753" s="2" t="s">
        <v>433</v>
      </c>
    </row>
    <row r="754" spans="1:4" x14ac:dyDescent="0.35">
      <c r="A754" s="2" t="s">
        <v>3406</v>
      </c>
      <c r="B754" s="2" t="s">
        <v>988</v>
      </c>
    </row>
    <row r="755" spans="1:4" x14ac:dyDescent="0.35">
      <c r="A755" s="2" t="s">
        <v>3408</v>
      </c>
      <c r="B755" s="2" t="s">
        <v>2028</v>
      </c>
    </row>
    <row r="756" spans="1:4" x14ac:dyDescent="0.35">
      <c r="A756" s="2" t="s">
        <v>3410</v>
      </c>
      <c r="B756" s="2" t="s">
        <v>338</v>
      </c>
    </row>
    <row r="757" spans="1:4" x14ac:dyDescent="0.35">
      <c r="A757" s="2" t="s">
        <v>2605</v>
      </c>
      <c r="B757" s="2" t="s">
        <v>339</v>
      </c>
    </row>
    <row r="758" spans="1:4" x14ac:dyDescent="0.35">
      <c r="A758" s="2" t="s">
        <v>2606</v>
      </c>
      <c r="B758" s="2" t="s">
        <v>1160</v>
      </c>
    </row>
    <row r="759" spans="1:4" ht="16" thickBot="1" x14ac:dyDescent="0.4"/>
    <row r="760" spans="1:4" ht="16.5" thickTop="1" thickBot="1" x14ac:dyDescent="0.4">
      <c r="B760" s="76" t="str">
        <f ca="1">[1]!alpha_ans($C$760)</f>
        <v>A</v>
      </c>
      <c r="C760" s="79" t="str">
        <f ca="1" xml:space="preserve"> "/\" &amp;RANDBETWEEN( 1,5) &amp; "/\" &amp;RANDBETWEEN( 1,120) &amp; "/\" &amp;B749 &amp; "/\" &amp; B750 &amp; "/\" &amp; B751 &amp; "/\" &amp; B752 &amp; "/\" &amp; B753 &amp; "/\" &amp; B754 &amp; "/\" &amp; B755 &amp; "/\" &amp; B756 &amp; "/\" &amp; B757 &amp; "/\" &amp; B758</f>
        <v>/\1/\93/\Japan plus the 11 countries adopting the Euro have equity markets roughly one half the size of the USA equity market /\ Japan plus the 11 countries adopting the Euro have bond markets roughly one-half the size of the USA bond market/\ Japan plus the 11 countries adopting the Euro have equity markets roughly one half the size of the USA equity market/\ Japan plus the 11 countries adopting the Euro have equity markets roughly same size as the USA equity market/\adoption of the Euro makes it easier for Europeon businesses to raise capital /\adoption of the Euro makes it more difficult for Europeon businesses to raise capita/\ long ago governments set exchange rates but since acceptance of the Bretton Woods agreement most exchange rates float with market supply and demand forces /\long ago exchange rates floated with market supply and demand forces but since acceptance of the Bretton Woods agreement most exchange rates are set by governments/\daily currency trading around the world is about 100 times larger than daily volume on the US equity markets /\ daily currency trading around the world is about the same volume as on the US equity markets</v>
      </c>
      <c r="D760" s="80" t="s">
        <v>2708</v>
      </c>
    </row>
    <row r="761" spans="1:4" ht="16" thickTop="1" x14ac:dyDescent="0.35">
      <c r="B761" s="81" t="str">
        <f ca="1">[1]!standardV_A($C$760)</f>
        <v xml:space="preserve"> long ago governments set exchange rates but since acceptance of the Bretton Woods agreement most exchange rates float with market supply and demand forces </v>
      </c>
      <c r="C761" s="82"/>
      <c r="D761" s="77"/>
    </row>
    <row r="762" spans="1:4" x14ac:dyDescent="0.35">
      <c r="B762" s="81" t="str">
        <f ca="1">[1]!standardV_B($C$760)</f>
        <v xml:space="preserve"> daily currency trading around the world is about the same volume as on the US equity markets</v>
      </c>
      <c r="C762" s="82"/>
      <c r="D762" s="77"/>
    </row>
    <row r="763" spans="1:4" x14ac:dyDescent="0.35">
      <c r="B763" s="81" t="str">
        <f ca="1">[1]!standardV_C($C$760)</f>
        <v xml:space="preserve"> Japan plus the 11 countries adopting the Euro have equity markets roughly same size as the USA equity market</v>
      </c>
      <c r="C763" s="82"/>
      <c r="D763" s="77"/>
    </row>
    <row r="764" spans="1:4" x14ac:dyDescent="0.35">
      <c r="B764" s="81" t="str">
        <f ca="1">[1]!standardV_D($C$760)</f>
        <v xml:space="preserve"> Japan plus the 11 countries adopting the Euro have bond markets roughly one-half the size of the USA bond market</v>
      </c>
      <c r="C764" s="82"/>
      <c r="D764" s="77"/>
    </row>
    <row r="765" spans="1:4" ht="16" thickBot="1" x14ac:dyDescent="0.4">
      <c r="B765" s="83" t="str">
        <f ca="1">[1]!standardV_E($C$760)</f>
        <v>adoption of the Euro makes it more difficult for Europeon businesses to raise capita</v>
      </c>
      <c r="C765" s="84"/>
      <c r="D765" s="78"/>
    </row>
    <row r="766" spans="1:4" ht="16" thickTop="1" x14ac:dyDescent="0.35"/>
    <row r="768" spans="1:4" x14ac:dyDescent="0.35">
      <c r="A768" s="88" t="s">
        <v>2709</v>
      </c>
    </row>
    <row r="769" spans="1:4" x14ac:dyDescent="0.35">
      <c r="A769" s="2" t="s">
        <v>30</v>
      </c>
      <c r="B769" s="2" t="s">
        <v>1997</v>
      </c>
    </row>
    <row r="770" spans="1:4" x14ac:dyDescent="0.35">
      <c r="A770" s="2" t="s">
        <v>1105</v>
      </c>
      <c r="B770" s="2" t="s">
        <v>2710</v>
      </c>
    </row>
    <row r="771" spans="1:4" x14ac:dyDescent="0.35">
      <c r="A771" s="2" t="s">
        <v>1573</v>
      </c>
      <c r="B771" s="2" t="s">
        <v>2131</v>
      </c>
    </row>
    <row r="772" spans="1:4" x14ac:dyDescent="0.35">
      <c r="A772" s="2" t="s">
        <v>1607</v>
      </c>
      <c r="B772" s="2" t="s">
        <v>2434</v>
      </c>
    </row>
    <row r="773" spans="1:4" x14ac:dyDescent="0.35">
      <c r="A773" s="2" t="s">
        <v>2352</v>
      </c>
      <c r="B773" s="2" t="s">
        <v>2714</v>
      </c>
    </row>
    <row r="774" spans="1:4" x14ac:dyDescent="0.35">
      <c r="A774" s="2" t="s">
        <v>3406</v>
      </c>
      <c r="B774" s="2" t="s">
        <v>1591</v>
      </c>
    </row>
    <row r="775" spans="1:4" x14ac:dyDescent="0.35">
      <c r="A775" s="2" t="s">
        <v>3408</v>
      </c>
      <c r="B775" s="2" t="s">
        <v>3683</v>
      </c>
    </row>
    <row r="776" spans="1:4" x14ac:dyDescent="0.35">
      <c r="A776" s="2" t="s">
        <v>3410</v>
      </c>
      <c r="B776" s="2" t="s">
        <v>1022</v>
      </c>
    </row>
    <row r="777" spans="1:4" x14ac:dyDescent="0.35">
      <c r="A777" s="2" t="s">
        <v>2605</v>
      </c>
      <c r="B777" s="2" t="s">
        <v>1023</v>
      </c>
    </row>
    <row r="778" spans="1:4" x14ac:dyDescent="0.35">
      <c r="A778" s="2" t="s">
        <v>2606</v>
      </c>
      <c r="B778" s="2" t="s">
        <v>1024</v>
      </c>
    </row>
    <row r="779" spans="1:4" ht="16" thickBot="1" x14ac:dyDescent="0.4"/>
    <row r="780" spans="1:4" ht="16.5" thickTop="1" thickBot="1" x14ac:dyDescent="0.4">
      <c r="B780" s="76" t="str">
        <f ca="1">[1]!alpha_ans($C$780)</f>
        <v>B</v>
      </c>
      <c r="C780" s="79" t="str">
        <f ca="1" xml:space="preserve"> "/\" &amp;RANDBETWEEN( 1,5) &amp; "/\" &amp;RANDBETWEEN( 1,120) &amp; "/\" &amp;B769 &amp; "/\" &amp; B770 &amp; "/\" &amp; B771 &amp; "/\" &amp; B772 &amp; "/\" &amp; B773 &amp; "/\" &amp; B774 &amp; "/\" &amp; B775 &amp; "/\" &amp; B776 &amp; "/\" &amp; B777 &amp; "/\" &amp; B778</f>
        <v>/\2/\5/\Markets and institutions provide financial resources to business in exchange for interest and dividends. /\Markets and institutions provide financial resources to business solely for the purpose of getting voting rights in corporate decisions./\Wealth that business creates flows primarily as profits to financial markets./\Wealth that business creates flows primarily as profits to employees./\Labor provides services to business and receive wages in a competitive and fluid economy that exactly equal the value of labor's contribution. /\Labor provides services to business and receive wages in a competitive and fluid economy that are much less than the value of labor's contribution./\Businesses typically send money to stakeholders such as employees and suppliers in exchange for goods and services./\Businesses typically borrow money from stakeholders such as employees and promise to repay superior wages in the future./\Businesses borrow money from financial markets to purchase capital goods, labor, and other productive services from stakeholders./\Businesses borrow money from stakeholders to purchase capital goods, labor, and other productive services from financial markets.</v>
      </c>
      <c r="D780" s="80" t="s">
        <v>1025</v>
      </c>
    </row>
    <row r="781" spans="1:4" ht="16" thickTop="1" x14ac:dyDescent="0.35">
      <c r="B781" s="81" t="str">
        <f ca="1">[1]!standardV_A($C$780)</f>
        <v>Markets and institutions provide financial resources to business solely for the purpose of getting voting rights in corporate decisions.</v>
      </c>
      <c r="C781" s="82"/>
      <c r="D781" s="77"/>
    </row>
    <row r="782" spans="1:4" x14ac:dyDescent="0.35">
      <c r="B782" s="81" t="str">
        <f ca="1">[1]!standardV_B($C$780)</f>
        <v>Wealth that business creates flows primarily as profits to financial markets.</v>
      </c>
      <c r="C782" s="82"/>
      <c r="D782" s="77"/>
    </row>
    <row r="783" spans="1:4" x14ac:dyDescent="0.35">
      <c r="B783" s="81" t="str">
        <f ca="1">[1]!standardV_C($C$780)</f>
        <v>Businesses borrow money from stakeholders to purchase capital goods, labor, and other productive services from financial markets.</v>
      </c>
      <c r="C783" s="82"/>
      <c r="D783" s="77"/>
    </row>
    <row r="784" spans="1:4" x14ac:dyDescent="0.35">
      <c r="B784" s="81" t="str">
        <f ca="1">[1]!standardV_D($C$780)</f>
        <v>Labor provides services to business and receive wages in a competitive and fluid economy that are much less than the value of labor's contribution.</v>
      </c>
      <c r="C784" s="82"/>
      <c r="D784" s="77"/>
    </row>
    <row r="785" spans="1:7" ht="16" thickBot="1" x14ac:dyDescent="0.4">
      <c r="B785" s="83" t="str">
        <f ca="1">[1]!standardV_E($C$780)</f>
        <v>Businesses typically borrow money from stakeholders such as employees and promise to repay superior wages in the future.</v>
      </c>
      <c r="C785" s="84"/>
      <c r="D785" s="78"/>
    </row>
    <row r="786" spans="1:7" ht="16" thickTop="1" x14ac:dyDescent="0.35"/>
    <row r="788" spans="1:7" ht="16" thickBot="1" x14ac:dyDescent="0.4">
      <c r="A788" s="88" t="s">
        <v>1094</v>
      </c>
    </row>
    <row r="789" spans="1:7" ht="16.5" thickTop="1" thickBot="1" x14ac:dyDescent="0.4">
      <c r="B789" s="76" t="str">
        <f ca="1">[1]!std_ans($C$789)</f>
        <v>E</v>
      </c>
      <c r="C789" s="79" t="str">
        <f ca="1" xml:space="preserve"> "/\" &amp;RANDBETWEEN( 1,120) &amp; "/\" &amp; "an investment which generates most cash flows at the beginning of its life." &amp; "/\" &amp; "there is no reliable relationship between the distribution of cash flows and present value." &amp; "/\" &amp; "an investment that is being discounted by a large discount rate." &amp; "/\" &amp; "an investment which generates equal cash flows each period." &amp; "/\" &amp; "an investment which generates most cash flows at the end of its life."</f>
        <v>/\60/\an investment which generates most cash flows at the beginning of its life./\there is no reliable relationship between the distribution of cash flows and present value./\an investment that is being discounted by a large discount rate./\an investment which generates equal cash flows each period./\an investment which generates most cash flows at the end of its life.</v>
      </c>
      <c r="D789" s="80" t="s">
        <v>1095</v>
      </c>
    </row>
    <row r="790" spans="1:7" ht="16" thickTop="1" x14ac:dyDescent="0.35">
      <c r="B790" s="81" t="str">
        <f ca="1">[1]!simpleV_A($C$789)</f>
        <v>an investment that is being discounted by a large discount rate.</v>
      </c>
      <c r="C790" s="82"/>
      <c r="D790" s="77"/>
    </row>
    <row r="791" spans="1:7" x14ac:dyDescent="0.35">
      <c r="B791" s="81" t="str">
        <f ca="1">[1]!simpleV_B($C$789)</f>
        <v>there is no reliable relationship between the distribution of cash flows and present value.</v>
      </c>
      <c r="C791" s="82"/>
      <c r="D791" s="77"/>
    </row>
    <row r="792" spans="1:7" x14ac:dyDescent="0.35">
      <c r="B792" s="81" t="str">
        <f ca="1">[1]!simpleV_C($C$789)</f>
        <v>an investment which generates most cash flows at the end of its life.</v>
      </c>
      <c r="C792" s="82"/>
      <c r="D792" s="77"/>
    </row>
    <row r="793" spans="1:7" x14ac:dyDescent="0.35">
      <c r="B793" s="81" t="str">
        <f ca="1">[1]!simpleV_D($C$789)</f>
        <v>an investment which generates equal cash flows each period.</v>
      </c>
      <c r="C793" s="82"/>
      <c r="D793" s="77"/>
    </row>
    <row r="794" spans="1:7" ht="16" thickBot="1" x14ac:dyDescent="0.4">
      <c r="B794" s="83" t="str">
        <f ca="1">[1]!simpleV_E($C$789)</f>
        <v>an investment which generates most cash flows at the beginning of its life.</v>
      </c>
      <c r="C794" s="84"/>
      <c r="D794" s="78"/>
    </row>
    <row r="795" spans="1:7" ht="16" thickTop="1" x14ac:dyDescent="0.35"/>
    <row r="797" spans="1:7" x14ac:dyDescent="0.35">
      <c r="A797" s="88" t="s">
        <v>1096</v>
      </c>
    </row>
    <row r="798" spans="1:7" x14ac:dyDescent="0.35">
      <c r="A798" s="2" t="s">
        <v>3290</v>
      </c>
      <c r="E798" s="2" t="s">
        <v>3794</v>
      </c>
      <c r="G798" s="2" t="s">
        <v>1828</v>
      </c>
    </row>
    <row r="799" spans="1:7" x14ac:dyDescent="0.35">
      <c r="A799" s="2" t="s">
        <v>3291</v>
      </c>
      <c r="B799" s="35">
        <f ca="1">RANDBETWEEN(100,250)/10</f>
        <v>15.2</v>
      </c>
      <c r="E799" s="2" t="str">
        <f ca="1">IF(flag3=0,E800,E801)</f>
        <v>company A probably has riskier dividends than company B</v>
      </c>
      <c r="G799" s="2" t="str">
        <f ca="1">IF(B799&lt;B800,"company A probably has less risky dividends than company B","company A probably has riskier dividends than company B")</f>
        <v>company A probably has less risky dividends than company B</v>
      </c>
    </row>
    <row r="800" spans="1:7" x14ac:dyDescent="0.35">
      <c r="A800" s="2" t="s">
        <v>3292</v>
      </c>
      <c r="B800" s="35">
        <f ca="1">ROUND((1+RANDBETWEEN(16,25)/100)^(IF(RANDBETWEEN(0,1)=0,1,-1))*B799,1)</f>
        <v>18.7</v>
      </c>
      <c r="E800" s="2" t="str">
        <f ca="1">IF(B799&gt;B800,"company A probably has less risky dividends than company B","company A probably has riskier dividends than company B")</f>
        <v>company A probably has riskier dividends than company B</v>
      </c>
      <c r="G800" s="2" t="str">
        <f ca="1">IF(B799&lt;B800,"company A probably has more growth opportunities than company B","company A probably  has fewer growth opportunities than company B")</f>
        <v>company A probably has more growth opportunities than company B</v>
      </c>
    </row>
    <row r="801" spans="1:7" x14ac:dyDescent="0.35">
      <c r="A801" s="2" t="s">
        <v>3293</v>
      </c>
      <c r="B801" s="13">
        <f ca="1">RANDBETWEEN(146,445)/10</f>
        <v>23.8</v>
      </c>
      <c r="E801" s="2" t="str">
        <f ca="1">IF(B799&gt;B800,"company A probably has more growth opportunities than company B","company A probably has fewer growth opportunities than company B")</f>
        <v>company A probably has fewer growth opportunities than company B</v>
      </c>
      <c r="G801" s="2" t="s">
        <v>3795</v>
      </c>
    </row>
    <row r="802" spans="1:7" x14ac:dyDescent="0.35">
      <c r="A802" s="2" t="s">
        <v>3294</v>
      </c>
      <c r="B802" s="13">
        <f ca="1">RANDBETWEEN(146,445)/10</f>
        <v>31.5</v>
      </c>
      <c r="G802" s="2" t="s">
        <v>3559</v>
      </c>
    </row>
    <row r="803" spans="1:7" x14ac:dyDescent="0.35">
      <c r="A803" s="2" t="s">
        <v>3295</v>
      </c>
      <c r="B803" s="13">
        <f ca="1">B801/B799</f>
        <v>1.5657894736842106</v>
      </c>
    </row>
    <row r="804" spans="1:7" x14ac:dyDescent="0.35">
      <c r="A804" s="2" t="s">
        <v>3296</v>
      </c>
      <c r="B804" s="13">
        <f ca="1">B802/B800</f>
        <v>1.6844919786096257</v>
      </c>
    </row>
    <row r="805" spans="1:7" ht="16" thickBot="1" x14ac:dyDescent="0.4"/>
    <row r="806" spans="1:7" ht="16.5" thickTop="1" thickBot="1" x14ac:dyDescent="0.4">
      <c r="B806" s="76" t="str">
        <f ca="1">[1]!std_ans($C$806)</f>
        <v>B</v>
      </c>
      <c r="C806" s="79" t="str">
        <f ca="1" xml:space="preserve"> "/\" &amp;RANDBETWEEN( 1,120) &amp; "/\" &amp; E799 &amp; "/\" &amp; G799 &amp; "/\" &amp; G800 &amp; "/\" &amp; G801 &amp; "/\" &amp; G802</f>
        <v>/\28/\company A probably has riskier dividends than company B/\company A probably has less risky dividends than company B/\company A probably has more growth opportunities than company B/\company A probably is overvalued relative to company B/\company A probably is undervalued relative to company B</v>
      </c>
      <c r="D806" s="80" t="s">
        <v>1097</v>
      </c>
    </row>
    <row r="807" spans="1:7" ht="16" thickTop="1" x14ac:dyDescent="0.35">
      <c r="B807" s="81" t="str">
        <f ca="1">[1]!simpleV_A($C$806)</f>
        <v>company A probably has less risky dividends than company B</v>
      </c>
      <c r="C807" s="82"/>
      <c r="D807" s="77"/>
    </row>
    <row r="808" spans="1:7" x14ac:dyDescent="0.35">
      <c r="B808" s="81" t="str">
        <f ca="1">[1]!simpleV_B($C$806)</f>
        <v>company A probably has riskier dividends than company B</v>
      </c>
      <c r="C808" s="82"/>
      <c r="D808" s="77"/>
    </row>
    <row r="809" spans="1:7" x14ac:dyDescent="0.35">
      <c r="B809" s="81" t="str">
        <f ca="1">[1]!simpleV_C($C$806)</f>
        <v>company A probably is overvalued relative to company B</v>
      </c>
      <c r="C809" s="82"/>
      <c r="D809" s="77"/>
    </row>
    <row r="810" spans="1:7" x14ac:dyDescent="0.35">
      <c r="B810" s="81" t="str">
        <f ca="1">[1]!simpleV_D($C$806)</f>
        <v>company A probably is undervalued relative to company B</v>
      </c>
      <c r="C810" s="82"/>
      <c r="D810" s="77"/>
    </row>
    <row r="811" spans="1:7" ht="16" thickBot="1" x14ac:dyDescent="0.4">
      <c r="B811" s="83" t="str">
        <f ca="1">[1]!simpleV_E($C$806)</f>
        <v>company A probably has more growth opportunities than company B</v>
      </c>
      <c r="C811" s="84"/>
      <c r="D811" s="78"/>
    </row>
    <row r="812" spans="1:7" ht="16" thickTop="1" x14ac:dyDescent="0.35"/>
    <row r="814" spans="1:7" ht="16" thickBot="1" x14ac:dyDescent="0.4">
      <c r="A814" s="88" t="s">
        <v>285</v>
      </c>
    </row>
    <row r="815" spans="1:7" ht="16.5" thickTop="1" thickBot="1" x14ac:dyDescent="0.4">
      <c r="B815" s="76" t="str">
        <f ca="1">[1]!std_ans($C$815)</f>
        <v>A</v>
      </c>
      <c r="C815" s="79" t="str">
        <f ca="1" xml:space="preserve"> "/\" &amp;RANDBETWEEN( 1,120) &amp; "/\" &amp; "The return for the portfolio is less than the return of the highest return stock." &amp; "/\" &amp; "The risk for the portfolio lies between the risks of the component stocks." &amp; "/\" &amp; "The risk of the portfolio is greater than the risk of the least risky stock." &amp; "/\" &amp; "The risk for the portfolio is less than the risk of the least risky stock." &amp; "/\" &amp; "The return for the portfolio is less than the return of the lowest return stock."</f>
        <v>/\15/\The return for the portfolio is less than the return of the highest return stock./\The risk for the portfolio lies between the risks of the component stocks./\The risk of the portfolio is greater than the risk of the least risky stock./\The risk for the portfolio is less than the risk of the least risky stock./\The return for the portfolio is less than the return of the lowest return stock.</v>
      </c>
      <c r="D815" s="80" t="s">
        <v>286</v>
      </c>
    </row>
    <row r="816" spans="1:7" ht="16" thickTop="1" x14ac:dyDescent="0.35">
      <c r="B816" s="81" t="str">
        <f ca="1">[1]!simpleV_A($C$815)</f>
        <v>The return for the portfolio is less than the return of the highest return stock.</v>
      </c>
      <c r="C816" s="82"/>
      <c r="D816" s="77"/>
    </row>
    <row r="817" spans="1:4" x14ac:dyDescent="0.35">
      <c r="B817" s="81" t="str">
        <f ca="1">[1]!simpleV_B($C$815)</f>
        <v>The risk for the portfolio is less than the risk of the least risky stock.</v>
      </c>
      <c r="C817" s="82"/>
      <c r="D817" s="77"/>
    </row>
    <row r="818" spans="1:4" x14ac:dyDescent="0.35">
      <c r="B818" s="81" t="str">
        <f ca="1">[1]!simpleV_C($C$815)</f>
        <v>The risk of the portfolio is greater than the risk of the least risky stock.</v>
      </c>
      <c r="C818" s="82"/>
      <c r="D818" s="77"/>
    </row>
    <row r="819" spans="1:4" x14ac:dyDescent="0.35">
      <c r="B819" s="81" t="str">
        <f ca="1">[1]!simpleV_D($C$815)</f>
        <v>The risk for the portfolio lies between the risks of the component stocks.</v>
      </c>
      <c r="C819" s="82"/>
      <c r="D819" s="77"/>
    </row>
    <row r="820" spans="1:4" ht="16" thickBot="1" x14ac:dyDescent="0.4">
      <c r="B820" s="83" t="str">
        <f ca="1">[1]!simpleV_E($C$815)</f>
        <v>The return for the portfolio is less than the return of the lowest return stock.</v>
      </c>
      <c r="C820" s="84"/>
      <c r="D820" s="78"/>
    </row>
    <row r="821" spans="1:4" ht="16" thickTop="1" x14ac:dyDescent="0.35"/>
    <row r="823" spans="1:4" x14ac:dyDescent="0.35">
      <c r="A823" s="88" t="s">
        <v>287</v>
      </c>
    </row>
    <row r="824" spans="1:4" x14ac:dyDescent="0.35">
      <c r="A824" s="410" t="s">
        <v>699</v>
      </c>
      <c r="B824" s="410"/>
    </row>
    <row r="825" spans="1:4" x14ac:dyDescent="0.35">
      <c r="A825" s="36" t="s">
        <v>2919</v>
      </c>
      <c r="B825" s="65" t="s">
        <v>2359</v>
      </c>
    </row>
    <row r="826" spans="1:4" x14ac:dyDescent="0.35">
      <c r="A826" s="36" t="s">
        <v>2185</v>
      </c>
      <c r="B826" s="65" t="s">
        <v>2706</v>
      </c>
    </row>
    <row r="827" spans="1:4" ht="16" thickBot="1" x14ac:dyDescent="0.4">
      <c r="A827" s="64" t="s">
        <v>2186</v>
      </c>
      <c r="B827" s="66" t="s">
        <v>948</v>
      </c>
    </row>
    <row r="828" spans="1:4" ht="16.5" thickTop="1" thickBot="1" x14ac:dyDescent="0.4"/>
    <row r="829" spans="1:4" ht="16.5" thickTop="1" thickBot="1" x14ac:dyDescent="0.4">
      <c r="B829" s="76" t="str">
        <f ca="1">[1]!std_ans($C$829)</f>
        <v>C</v>
      </c>
      <c r="C829" s="79" t="str">
        <f ca="1" xml:space="preserve"> "/\" &amp;RANDBETWEEN( 1,120) &amp; "/\" &amp;RANDBETWEEN( 1,3) &amp; "/\" &amp;RANDBETWEEN( 1,2) &amp; "/\" &amp;RANDBETWEEN( 1,2) &amp; "/\" &amp;RANDBETWEEN( 1,8)  &amp; "/\" &amp; A825 &amp; "/\" &amp; A826 &amp; "/\" &amp; A827 &amp; "/\" &amp; B825 &amp; "/\" &amp; B826 &amp; "/\" &amp; B827 &amp; "/\" &amp; "WW"</f>
        <v>/\56/\3/\2/\2/\3/\efficient frontier/\capital market line/\security market line/\is the risk-return profile that contains the set of all dominant portfolios comprised possibly of all securities/\passes through two points with coordinates (standard deviation, rate of return) equal to (0, risk-free rate) and (market standard deviation, expected market return)/\passes through two points with coordinates (beta, rate of return) equal to (0,  risk-free rate) and (1, expected market return)/\WW</v>
      </c>
      <c r="D829" s="80" t="s">
        <v>288</v>
      </c>
    </row>
    <row r="830" spans="1:4" ht="16" thickTop="1" x14ac:dyDescent="0.35">
      <c r="B830" s="81" t="str">
        <f ca="1">[1]!threepairs_A($C$829)</f>
        <v>capital market line</v>
      </c>
      <c r="C830" s="82" t="str">
        <f ca="1">[1]!threepairs_A2($C$829)</f>
        <v>is the risk-return profile that contains the set of all dominant portfolios comprised possibly of all securities</v>
      </c>
      <c r="D830" s="77"/>
    </row>
    <row r="831" spans="1:4" x14ac:dyDescent="0.35">
      <c r="B831" s="81" t="str">
        <f ca="1">[1]!threepairs_B($C$829)</f>
        <v>efficient frontier</v>
      </c>
      <c r="C831" s="82" t="str">
        <f ca="1">[1]!threepairs_B2($C$829)</f>
        <v>passes through two points with coordinates (standard deviation, rate of return) equal to (0, risk-free rate) and (market standard deviation, expected market return)</v>
      </c>
      <c r="D831" s="77"/>
    </row>
    <row r="832" spans="1:4" x14ac:dyDescent="0.35">
      <c r="B832" s="81" t="str">
        <f ca="1">[1]!threepairs_C($C$829)</f>
        <v>security market line</v>
      </c>
      <c r="C832" s="82" t="str">
        <f ca="1">[1]!threepairs_C2($C$829)</f>
        <v>passes through two points with coordinates (beta, rate of return) equal to (0,  risk-free rate) and (1, expected market return)</v>
      </c>
      <c r="D832" s="77"/>
    </row>
    <row r="833" spans="1:4" x14ac:dyDescent="0.35">
      <c r="B833" s="81" t="str">
        <f ca="1">[1]!threepairs_D($C$829)</f>
        <v>capital market line</v>
      </c>
      <c r="C833" s="82" t="str">
        <f ca="1">[1]!threepairs_D2($C$829)</f>
        <v>passes through two points with coordinates (beta, rate of return) equal to (0,  risk-free rate) and (1, expected market return)</v>
      </c>
      <c r="D833" s="77"/>
    </row>
    <row r="834" spans="1:4" ht="16" thickBot="1" x14ac:dyDescent="0.4">
      <c r="B834" s="83" t="str">
        <f ca="1">[1]!threepairs_E($C$829)</f>
        <v>security market line</v>
      </c>
      <c r="C834" s="84" t="str">
        <f ca="1">[1]!threepairs_E2($C$829)</f>
        <v>passes through two points with coordinates (standard deviation, rate of return) equal to (0, risk-free rate) and (market standard deviation, expected market return)</v>
      </c>
      <c r="D834" s="78"/>
    </row>
    <row r="835" spans="1:4" ht="16" thickTop="1" x14ac:dyDescent="0.35"/>
    <row r="837" spans="1:4" x14ac:dyDescent="0.35">
      <c r="A837" s="88" t="s">
        <v>834</v>
      </c>
    </row>
    <row r="838" spans="1:4" x14ac:dyDescent="0.35">
      <c r="A838" s="38" t="s">
        <v>836</v>
      </c>
      <c r="B838" s="41" t="s">
        <v>1079</v>
      </c>
      <c r="D838" s="36"/>
    </row>
    <row r="839" spans="1:4" x14ac:dyDescent="0.35">
      <c r="B839" s="41" t="s">
        <v>833</v>
      </c>
      <c r="D839" s="36"/>
    </row>
    <row r="840" spans="1:4" x14ac:dyDescent="0.35">
      <c r="A840" s="38" t="s">
        <v>835</v>
      </c>
      <c r="B840" s="2" t="s">
        <v>2895</v>
      </c>
    </row>
    <row r="841" spans="1:4" x14ac:dyDescent="0.35">
      <c r="B841" s="2" t="s">
        <v>730</v>
      </c>
    </row>
    <row r="842" spans="1:4" x14ac:dyDescent="0.35">
      <c r="B842" s="2" t="s">
        <v>1709</v>
      </c>
    </row>
    <row r="843" spans="1:4" x14ac:dyDescent="0.35">
      <c r="B843" s="2" t="s">
        <v>3643</v>
      </c>
    </row>
    <row r="844" spans="1:4" ht="16" thickBot="1" x14ac:dyDescent="0.4"/>
    <row r="845" spans="1:4" ht="16.5" thickTop="1" thickBot="1" x14ac:dyDescent="0.4">
      <c r="B845" s="76" t="str">
        <f ca="1">[1]!alpha_ans($C$845)</f>
        <v>C</v>
      </c>
      <c r="C845" s="79" t="str">
        <f ca="1" xml:space="preserve"> "/\" &amp;RANDBETWEEN( 1,5) &amp; "/\" &amp;RANDBETWEEN( 1,120) &amp; "/\" &amp;RANDBETWEEN( 1,6) &amp; "/\" &amp;RANDBETWEEN( 1,2) &amp; "/\" &amp; B838 &amp; "/\" &amp; B840 &amp; "/\" &amp; B841 &amp; "/\" &amp; B839 &amp; "/\" &amp; B842</f>
        <v>/\3/\49/\3/\1/\the annual average rate of return over the past 70 years has been higher for small company stocks than for large company stocks/\the annual average rate of return over the past 70 years has been higher for T-bills than for small company stocks/\the annual average rate of return over the past 70 years has been higher for T-bills than for large company stocks/\the annual average rate of return over the past 70 years has been higher for large company stocks than for corporate bonds"/\the annual average rate of return over the past 10 years has been higher for corporate bonds than for large company stocks</v>
      </c>
      <c r="D845" s="80" t="s">
        <v>837</v>
      </c>
    </row>
    <row r="846" spans="1:4" ht="16" thickTop="1" x14ac:dyDescent="0.35">
      <c r="B846" s="81" t="str">
        <f ca="1">[1]!onepair_A($C$845)</f>
        <v>the annual average rate of return over the past 70 years has been higher for T-bills than for small company stocks</v>
      </c>
      <c r="C846" s="82" t="str">
        <f ca="1">[1]!onepair_A2($C$845)</f>
        <v>the annual average rate of return over the past 10 years has been higher for corporate bonds than for large company stocks</v>
      </c>
      <c r="D846" s="77"/>
    </row>
    <row r="847" spans="1:4" x14ac:dyDescent="0.35">
      <c r="B847" s="81" t="str">
        <f ca="1">[1]!onepair_B($C$845)</f>
        <v>the annual average rate of return over the past 70 years has been higher for small company stocks than for large company stocks</v>
      </c>
      <c r="C847" s="82" t="str">
        <f ca="1">[1]!onepair_B2($C$845)</f>
        <v>the annual average rate of return over the past 10 years has been higher for corporate bonds than for large company stocks</v>
      </c>
      <c r="D847" s="77"/>
    </row>
    <row r="848" spans="1:4" x14ac:dyDescent="0.35">
      <c r="B848" s="81" t="str">
        <f ca="1">[1]!onepair_C($C$845)</f>
        <v>the annual average rate of return over the past 70 years has been higher for small company stocks than for large company stocks</v>
      </c>
      <c r="C848" s="82" t="str">
        <f ca="1">[1]!onepair_C2($C$845)</f>
        <v>the annual average rate of return over the past 70 years has been higher for large company stocks than for corporate bonds"</v>
      </c>
      <c r="D848" s="77"/>
    </row>
    <row r="849" spans="1:4" x14ac:dyDescent="0.35">
      <c r="B849" s="81" t="str">
        <f ca="1">[1]!onepair_D($C$845)</f>
        <v>the annual average rate of return over the past 70 years has been higher for T-bills than for large company stocks</v>
      </c>
      <c r="C849" s="82" t="str">
        <f ca="1">[1]!onepair_D2($C$845)</f>
        <v>the annual average rate of return over the past 70 years has been higher for large company stocks than for corporate bonds"</v>
      </c>
      <c r="D849" s="77"/>
    </row>
    <row r="850" spans="1:4" ht="16" thickBot="1" x14ac:dyDescent="0.4">
      <c r="B850" s="83" t="str">
        <f ca="1">[1]!onepair_E($C$845)</f>
        <v>the annual average rate of return over the past 70 years has been higher for T-bills than for large company stocks</v>
      </c>
      <c r="C850" s="84" t="str">
        <f ca="1">[1]!onepair_E2($C$845)</f>
        <v>the annual average rate of return over the past 10 years has been higher for corporate bonds than for large company stocks</v>
      </c>
      <c r="D850" s="78"/>
    </row>
    <row r="851" spans="1:4" ht="16" thickTop="1" x14ac:dyDescent="0.35"/>
    <row r="853" spans="1:4" x14ac:dyDescent="0.35">
      <c r="A853" s="88" t="s">
        <v>838</v>
      </c>
    </row>
    <row r="854" spans="1:4" x14ac:dyDescent="0.35">
      <c r="A854" s="2" t="s">
        <v>30</v>
      </c>
      <c r="B854" s="2" t="s">
        <v>839</v>
      </c>
    </row>
    <row r="855" spans="1:4" x14ac:dyDescent="0.35">
      <c r="A855" s="2" t="s">
        <v>1105</v>
      </c>
      <c r="B855" s="2" t="s">
        <v>367</v>
      </c>
    </row>
    <row r="856" spans="1:4" x14ac:dyDescent="0.35">
      <c r="A856" s="2" t="s">
        <v>1573</v>
      </c>
      <c r="B856" s="2" t="s">
        <v>3027</v>
      </c>
    </row>
    <row r="857" spans="1:4" x14ac:dyDescent="0.35">
      <c r="A857" s="2" t="s">
        <v>1607</v>
      </c>
      <c r="B857" s="2" t="s">
        <v>2893</v>
      </c>
    </row>
    <row r="858" spans="1:4" x14ac:dyDescent="0.35">
      <c r="A858" s="2" t="s">
        <v>2352</v>
      </c>
      <c r="B858" s="2" t="s">
        <v>2088</v>
      </c>
    </row>
    <row r="859" spans="1:4" x14ac:dyDescent="0.35">
      <c r="A859" s="2" t="s">
        <v>3406</v>
      </c>
      <c r="B859" s="2" t="s">
        <v>1168</v>
      </c>
    </row>
    <row r="860" spans="1:4" x14ac:dyDescent="0.35">
      <c r="A860" s="2" t="s">
        <v>3408</v>
      </c>
      <c r="B860" s="2" t="s">
        <v>2841</v>
      </c>
    </row>
    <row r="861" spans="1:4" x14ac:dyDescent="0.35">
      <c r="A861" s="2" t="s">
        <v>3410</v>
      </c>
      <c r="B861" s="2" t="s">
        <v>1361</v>
      </c>
    </row>
    <row r="862" spans="1:4" x14ac:dyDescent="0.35">
      <c r="A862" s="2" t="s">
        <v>2605</v>
      </c>
      <c r="B862" s="2" t="s">
        <v>1362</v>
      </c>
    </row>
    <row r="863" spans="1:4" x14ac:dyDescent="0.35">
      <c r="A863" s="2" t="s">
        <v>2606</v>
      </c>
      <c r="B863" s="2" t="s">
        <v>1566</v>
      </c>
    </row>
    <row r="864" spans="1:4" ht="16" thickBot="1" x14ac:dyDescent="0.4"/>
    <row r="865" spans="1:4" ht="16.5" thickTop="1" thickBot="1" x14ac:dyDescent="0.4">
      <c r="B865" s="76" t="str">
        <f ca="1">[1]!alpha_ans($C$865)</f>
        <v>E</v>
      </c>
      <c r="C865" s="79" t="str">
        <f ca="1" xml:space="preserve"> "/\" &amp;RANDBETWEEN( 1,5) &amp; "/\" &amp;RANDBETWEEN( 1,120) &amp; "/\" &amp;B854 &amp; "/\" &amp; B855 &amp; "/\" &amp; B856 &amp; "/\" &amp; B857 &amp; "/\" &amp; B858 &amp; "/\" &amp; B859 &amp; "/\" &amp; B860 &amp; "/\" &amp; B861 &amp; "/\" &amp; B862 &amp; "/\" &amp; B863</f>
        <v>/\5/\119/\the prime rate is the base rate that big banks offer their best corporate clients/\the prime rate is the rate applicable to low-risk mortgages/\the discount rate is a specific rate that the Federal Reserve Banks charges on loans to depository institutions/\the discount rate measures the amount by which the interest rate at Credit Unions exceeds the rate at Federal Reserve banks/\the Treasury bill rate is a rate on short-term U.S. government bills, sold at discount/\the Treasury bill rate is a rate on 30-year U.S. government bonds/\the discount rate means, generically, the rate used to find a present value/\the discount rate measures the rate that the U.S. Treasury charges the Federal Reserve Board for loans/\the Certificate of Deposit rate is the amount that banks and credit unions pay to customers making deposits subject to restrictions on term and quantity/\the Certificate of Deposit rate is the amount that banks and credit unions pay to customer savings accounts</v>
      </c>
      <c r="D865" s="80" t="s">
        <v>1567</v>
      </c>
    </row>
    <row r="866" spans="1:4" ht="16" thickTop="1" x14ac:dyDescent="0.35">
      <c r="B866" s="81" t="str">
        <f ca="1">[1]!standardV_A($C$865)</f>
        <v>the Certificate of Deposit rate is the amount that banks and credit unions pay to customer savings accounts</v>
      </c>
      <c r="C866" s="82"/>
      <c r="D866" s="77"/>
    </row>
    <row r="867" spans="1:4" x14ac:dyDescent="0.35">
      <c r="B867" s="81" t="str">
        <f ca="1">[1]!standardV_B($C$865)</f>
        <v>the discount rate measures the rate that the U.S. Treasury charges the Federal Reserve Board for loans</v>
      </c>
      <c r="C867" s="82"/>
      <c r="D867" s="77"/>
    </row>
    <row r="868" spans="1:4" x14ac:dyDescent="0.35">
      <c r="B868" s="81" t="str">
        <f ca="1">[1]!standardV_C($C$865)</f>
        <v>the Treasury bill rate is a rate on 30-year U.S. government bonds</v>
      </c>
      <c r="C868" s="82"/>
      <c r="D868" s="77"/>
    </row>
    <row r="869" spans="1:4" x14ac:dyDescent="0.35">
      <c r="B869" s="81" t="str">
        <f ca="1">[1]!standardV_D($C$865)</f>
        <v>the prime rate is the rate applicable to low-risk mortgages</v>
      </c>
      <c r="C869" s="82"/>
      <c r="D869" s="77"/>
    </row>
    <row r="870" spans="1:4" ht="16" thickBot="1" x14ac:dyDescent="0.4">
      <c r="B870" s="83" t="str">
        <f ca="1">[1]!standardV_E($C$865)</f>
        <v>the discount rate is a specific rate that the Federal Reserve Banks charges on loans to depository institutions</v>
      </c>
      <c r="C870" s="84"/>
      <c r="D870" s="78"/>
    </row>
    <row r="871" spans="1:4" ht="16" thickTop="1" x14ac:dyDescent="0.35"/>
    <row r="873" spans="1:4" x14ac:dyDescent="0.35">
      <c r="A873" s="88" t="s">
        <v>1568</v>
      </c>
    </row>
    <row r="874" spans="1:4" x14ac:dyDescent="0.35">
      <c r="A874" s="2" t="s">
        <v>30</v>
      </c>
      <c r="B874" s="2" t="s">
        <v>1569</v>
      </c>
    </row>
    <row r="875" spans="1:4" x14ac:dyDescent="0.35">
      <c r="A875" s="2" t="s">
        <v>1105</v>
      </c>
      <c r="B875" s="2" t="s">
        <v>2480</v>
      </c>
    </row>
    <row r="876" spans="1:4" x14ac:dyDescent="0.35">
      <c r="A876" s="2" t="s">
        <v>1573</v>
      </c>
      <c r="B876" s="2" t="s">
        <v>3679</v>
      </c>
    </row>
    <row r="877" spans="1:4" x14ac:dyDescent="0.35">
      <c r="A877" s="2" t="s">
        <v>1607</v>
      </c>
      <c r="B877" s="2" t="s">
        <v>3680</v>
      </c>
    </row>
    <row r="878" spans="1:4" x14ac:dyDescent="0.35">
      <c r="A878" s="2" t="s">
        <v>2352</v>
      </c>
      <c r="B878" s="2" t="s">
        <v>609</v>
      </c>
    </row>
    <row r="879" spans="1:4" x14ac:dyDescent="0.35">
      <c r="A879" s="2" t="s">
        <v>3406</v>
      </c>
      <c r="B879" s="2" t="s">
        <v>1151</v>
      </c>
    </row>
    <row r="880" spans="1:4" x14ac:dyDescent="0.35">
      <c r="A880" s="2" t="s">
        <v>3408</v>
      </c>
      <c r="B880" s="2" t="s">
        <v>663</v>
      </c>
    </row>
    <row r="881" spans="1:4" x14ac:dyDescent="0.35">
      <c r="A881" s="2" t="s">
        <v>3410</v>
      </c>
      <c r="B881" s="2" t="s">
        <v>1309</v>
      </c>
    </row>
    <row r="882" spans="1:4" x14ac:dyDescent="0.35">
      <c r="A882" s="2" t="s">
        <v>2605</v>
      </c>
      <c r="B882" s="2" t="s">
        <v>1256</v>
      </c>
    </row>
    <row r="883" spans="1:4" x14ac:dyDescent="0.35">
      <c r="A883" s="2" t="s">
        <v>2606</v>
      </c>
      <c r="B883" s="2" t="s">
        <v>1257</v>
      </c>
    </row>
    <row r="884" spans="1:4" ht="16" thickBot="1" x14ac:dyDescent="0.4"/>
    <row r="885" spans="1:4" ht="16.5" thickTop="1" thickBot="1" x14ac:dyDescent="0.4">
      <c r="B885" s="76" t="str">
        <f ca="1">[1]!alpha_ans($C$885)</f>
        <v>B</v>
      </c>
      <c r="C885" s="79" t="str">
        <f ca="1" xml:space="preserve"> "/\" &amp;RANDBETWEEN( 1,5) &amp; "/\" &amp;RANDBETWEEN( 1,120) &amp; "/\" &amp;B874 &amp; "/\" &amp; B875 &amp; "/\" &amp; B876 &amp; "/\" &amp; B877 &amp; "/\" &amp; B878 &amp; "/\" &amp; B879 &amp; "/\" &amp; B880 &amp; "/\" &amp; B881 &amp; "/\" &amp; B882 &amp; "/\" &amp; B883</f>
        <v>/\2/\43/\the interest rate probably is greater on taxable AAA corporate bonds than on tax-exempt AAA municipal bonds/\the interest rate probably is greater on tax-exempt AAA municipal bonds than on taxable AAA corporate bonds/\the interest rate probably is greater on CCC corporate bonds than on AAA corporate bonds/\the interest rate probably is greater on AAA corporate bonds than on CCC corporate bonds/\the interest rate normally is greater on long-term corporate bonds than on short-term corporate bonds/\the interest rate normally is greater on short-term corporate bonds than on long-term corporate bonds/\the interest rate probably is greater on junk bonds than on high quality investment grade bonds/\the interest rate probably is greater on high quality investment grade bonds than on junk bonds/\quasi-government enterprises that serve the public interest often issue bonds that pay the tax exempt interest rate/\corporations seeking sales growth by expanding overseas often issue bonds that pay the tax exempt interest rate</v>
      </c>
      <c r="D885" s="80" t="s">
        <v>1258</v>
      </c>
    </row>
    <row r="886" spans="1:4" ht="16" thickTop="1" x14ac:dyDescent="0.35">
      <c r="B886" s="81" t="str">
        <f ca="1">[1]!standardV_A($C$885)</f>
        <v>the interest rate probably is greater on AAA corporate bonds than on CCC corporate bonds</v>
      </c>
      <c r="C886" s="82"/>
      <c r="D886" s="77"/>
    </row>
    <row r="887" spans="1:4" x14ac:dyDescent="0.35">
      <c r="B887" s="81" t="str">
        <f ca="1">[1]!standardV_B($C$885)</f>
        <v>quasi-government enterprises that serve the public interest often issue bonds that pay the tax exempt interest rate</v>
      </c>
      <c r="C887" s="82"/>
      <c r="D887" s="77"/>
    </row>
    <row r="888" spans="1:4" x14ac:dyDescent="0.35">
      <c r="B888" s="81" t="str">
        <f ca="1">[1]!standardV_C($C$885)</f>
        <v>the interest rate probably is greater on tax-exempt AAA municipal bonds than on taxable AAA corporate bonds</v>
      </c>
      <c r="C888" s="82"/>
      <c r="D888" s="77"/>
    </row>
    <row r="889" spans="1:4" x14ac:dyDescent="0.35">
      <c r="B889" s="81" t="str">
        <f ca="1">[1]!standardV_D($C$885)</f>
        <v>the interest rate normally is greater on short-term corporate bonds than on long-term corporate bonds</v>
      </c>
      <c r="C889" s="82"/>
      <c r="D889" s="77"/>
    </row>
    <row r="890" spans="1:4" ht="16" thickBot="1" x14ac:dyDescent="0.4">
      <c r="B890" s="83" t="str">
        <f ca="1">[1]!standardV_E($C$885)</f>
        <v>the interest rate probably is greater on high quality investment grade bonds than on junk bonds</v>
      </c>
      <c r="C890" s="84"/>
      <c r="D890" s="78"/>
    </row>
    <row r="891" spans="1:4" ht="16" thickTop="1" x14ac:dyDescent="0.35"/>
    <row r="893" spans="1:4" ht="16" thickBot="1" x14ac:dyDescent="0.4">
      <c r="A893" s="88" t="s">
        <v>1259</v>
      </c>
    </row>
    <row r="894" spans="1:4" ht="16.5" thickTop="1" thickBot="1" x14ac:dyDescent="0.4">
      <c r="B894" s="76" t="str">
        <f ca="1">[1]!std_ans($C$894)</f>
        <v>B</v>
      </c>
      <c r="C894" s="79" t="str">
        <f ca="1" xml:space="preserve"> "/\" &amp;RANDBETWEEN( 1,120) &amp; "/\" &amp; "yield-to-maturity on vertical axis, term on horizontal axis, and a positive slope" &amp; "/\" &amp; "yield-to-maturity on horizontal axis, price on vertical axis, and a line that curves toward $1000" &amp; "/\" &amp; "yield-to-maturity on vertical axis, term on horizontal axis, and a negative slope" &amp; "/\" &amp; "price on vertical axis, time to maturity on horizontal axis, and a line that curves toward $1000" &amp; "/\" &amp; "price on vertical axis, coupon rate on horizontal axis, and slope equal to yield-to-maturity"</f>
        <v>/\51/\yield-to-maturity on vertical axis, term on horizontal axis, and a positive slope/\yield-to-maturity on horizontal axis, price on vertical axis, and a line that curves toward $1000/\yield-to-maturity on vertical axis, term on horizontal axis, and a negative slope/\price on vertical axis, time to maturity on horizontal axis, and a line that curves toward $1000/\price on vertical axis, coupon rate on horizontal axis, and slope equal to yield-to-maturity</v>
      </c>
      <c r="D894" s="80" t="s">
        <v>2614</v>
      </c>
    </row>
    <row r="895" spans="1:4" ht="16" thickTop="1" x14ac:dyDescent="0.35">
      <c r="B895" s="81" t="str">
        <f ca="1">[1]!simpleV_A($C$894)</f>
        <v>yield-to-maturity on vertical axis, term on horizontal axis, and a negative slope</v>
      </c>
      <c r="C895" s="82"/>
      <c r="D895" s="77"/>
    </row>
    <row r="896" spans="1:4" x14ac:dyDescent="0.35">
      <c r="B896" s="81" t="str">
        <f ca="1">[1]!simpleV_B($C$894)</f>
        <v>yield-to-maturity on vertical axis, term on horizontal axis, and a positive slope</v>
      </c>
      <c r="C896" s="82"/>
      <c r="D896" s="77"/>
    </row>
    <row r="897" spans="1:4" x14ac:dyDescent="0.35">
      <c r="B897" s="81" t="str">
        <f ca="1">[1]!simpleV_C($C$894)</f>
        <v>price on vertical axis, time to maturity on horizontal axis, and a line that curves toward $1000</v>
      </c>
      <c r="C897" s="82"/>
      <c r="D897" s="77"/>
    </row>
    <row r="898" spans="1:4" x14ac:dyDescent="0.35">
      <c r="B898" s="81" t="str">
        <f ca="1">[1]!simpleV_D($C$894)</f>
        <v>yield-to-maturity on horizontal axis, price on vertical axis, and a line that curves toward $1000</v>
      </c>
      <c r="C898" s="82"/>
      <c r="D898" s="77"/>
    </row>
    <row r="899" spans="1:4" ht="16" thickBot="1" x14ac:dyDescent="0.4">
      <c r="B899" s="83" t="str">
        <f ca="1">[1]!simpleV_E($C$894)</f>
        <v>price on vertical axis, coupon rate on horizontal axis, and slope equal to yield-to-maturity</v>
      </c>
      <c r="C899" s="84"/>
      <c r="D899" s="78"/>
    </row>
    <row r="900" spans="1:4" ht="16" thickTop="1" x14ac:dyDescent="0.35"/>
    <row r="902" spans="1:4" x14ac:dyDescent="0.35">
      <c r="A902" s="88" t="s">
        <v>2615</v>
      </c>
    </row>
    <row r="903" spans="1:4" x14ac:dyDescent="0.35">
      <c r="A903" s="2" t="s">
        <v>30</v>
      </c>
      <c r="B903" s="2" t="s">
        <v>2616</v>
      </c>
    </row>
    <row r="904" spans="1:4" x14ac:dyDescent="0.35">
      <c r="A904" s="2" t="s">
        <v>1105</v>
      </c>
      <c r="B904" s="2" t="s">
        <v>276</v>
      </c>
    </row>
    <row r="905" spans="1:4" x14ac:dyDescent="0.35">
      <c r="A905" s="2" t="s">
        <v>1573</v>
      </c>
      <c r="B905" s="2" t="s">
        <v>277</v>
      </c>
    </row>
    <row r="906" spans="1:4" x14ac:dyDescent="0.35">
      <c r="A906" s="2" t="s">
        <v>1607</v>
      </c>
      <c r="B906" s="2" t="s">
        <v>278</v>
      </c>
    </row>
    <row r="907" spans="1:4" x14ac:dyDescent="0.35">
      <c r="A907" s="2" t="s">
        <v>2352</v>
      </c>
      <c r="B907" s="2" t="s">
        <v>279</v>
      </c>
    </row>
    <row r="908" spans="1:4" x14ac:dyDescent="0.35">
      <c r="A908" s="2" t="s">
        <v>3406</v>
      </c>
      <c r="B908" s="2" t="s">
        <v>239</v>
      </c>
    </row>
    <row r="909" spans="1:4" x14ac:dyDescent="0.35">
      <c r="A909" s="2" t="s">
        <v>3408</v>
      </c>
      <c r="B909" s="2" t="s">
        <v>318</v>
      </c>
    </row>
    <row r="910" spans="1:4" x14ac:dyDescent="0.35">
      <c r="A910" s="2" t="s">
        <v>3410</v>
      </c>
      <c r="B910" s="2" t="s">
        <v>319</v>
      </c>
    </row>
    <row r="911" spans="1:4" x14ac:dyDescent="0.35">
      <c r="A911" s="2" t="s">
        <v>2605</v>
      </c>
      <c r="B911" s="2" t="s">
        <v>320</v>
      </c>
    </row>
    <row r="912" spans="1:4" x14ac:dyDescent="0.35">
      <c r="A912" s="2" t="s">
        <v>2606</v>
      </c>
      <c r="B912" s="2" t="s">
        <v>1173</v>
      </c>
    </row>
    <row r="913" spans="1:4" ht="16" thickBot="1" x14ac:dyDescent="0.4"/>
    <row r="914" spans="1:4" ht="16.5" thickTop="1" thickBot="1" x14ac:dyDescent="0.4">
      <c r="B914" s="76" t="str">
        <f ca="1">[1]!alpha_ans($C$914)</f>
        <v>D</v>
      </c>
      <c r="C914" s="79" t="str">
        <f ca="1" xml:space="preserve"> "/\" &amp;RANDBETWEEN( 1,5) &amp; "/\" &amp;RANDBETWEEN( 1,120) &amp; "/\" &amp;B903 &amp; "/\" &amp; B904 &amp; "/\" &amp; B905 &amp; "/\" &amp; B906 &amp; "/\" &amp; B907 &amp; "/\" &amp; B908 &amp; "/\" &amp; B909 &amp; "/\" &amp; B910 &amp; "/\" &amp; B911 &amp; "/\" &amp; B912</f>
        <v>/\4/\30/\For a premium bond the yield-to-maturity is less than the coupon rate/\For a premium bond the yield-to-maturity exeeds the coupon rate/\For a discount bond the coupon rate is less than the yield to maturity/\For a discount bond the coupon rate exceeds the yield to maturity/\With an interest rate decline the price rises more for long-term bonds than for short-term bonds/\With an interest rate decline the price rises more for short-term bonds than for long-term bonds/\When a bond is sold at an interest rate less than the initial yield to maturity then the actual rate of return exceeds the promised yield/\When a bond is sold at an interest rate less than the initial yield to maturity then the actual rate of return is less than the promised yield/\With an interest rate increase the price falls more for long-term bonds than for short-term bonds/\With an interest rate increase the price rises more for long-term bonds than for short-term bonds</v>
      </c>
      <c r="D914" s="80" t="s">
        <v>1174</v>
      </c>
    </row>
    <row r="915" spans="1:4" ht="16" thickTop="1" x14ac:dyDescent="0.35">
      <c r="B915" s="81" t="str">
        <f ca="1">[1]!standardV_A($C$914)</f>
        <v>For a discount bond the coupon rate exceeds the yield to maturity</v>
      </c>
      <c r="C915" s="82"/>
      <c r="D915" s="77"/>
    </row>
    <row r="916" spans="1:4" x14ac:dyDescent="0.35">
      <c r="B916" s="81" t="str">
        <f ca="1">[1]!standardV_B($C$914)</f>
        <v>For a premium bond the yield-to-maturity exeeds the coupon rate</v>
      </c>
      <c r="C916" s="82"/>
      <c r="D916" s="77"/>
    </row>
    <row r="917" spans="1:4" x14ac:dyDescent="0.35">
      <c r="B917" s="81" t="str">
        <f ca="1">[1]!standardV_C($C$914)</f>
        <v>With an interest rate increase the price rises more for long-term bonds than for short-term bonds</v>
      </c>
      <c r="C917" s="82"/>
      <c r="D917" s="77"/>
    </row>
    <row r="918" spans="1:4" x14ac:dyDescent="0.35">
      <c r="B918" s="81" t="str">
        <f ca="1">[1]!standardV_D($C$914)</f>
        <v>When a bond is sold at an interest rate less than the initial yield to maturity then the actual rate of return exceeds the promised yield</v>
      </c>
      <c r="C918" s="82"/>
      <c r="D918" s="77"/>
    </row>
    <row r="919" spans="1:4" ht="16" thickBot="1" x14ac:dyDescent="0.4">
      <c r="B919" s="83" t="str">
        <f ca="1">[1]!standardV_E($C$914)</f>
        <v>With an interest rate decline the price rises more for short-term bonds than for long-term bonds</v>
      </c>
      <c r="C919" s="84"/>
      <c r="D919" s="78"/>
    </row>
    <row r="920" spans="1:4" ht="16" thickTop="1" x14ac:dyDescent="0.35"/>
    <row r="922" spans="1:4" x14ac:dyDescent="0.35">
      <c r="A922" s="88" t="s">
        <v>1175</v>
      </c>
    </row>
    <row r="923" spans="1:4" x14ac:dyDescent="0.35">
      <c r="A923" s="2" t="s">
        <v>30</v>
      </c>
      <c r="B923" s="2" t="s">
        <v>2654</v>
      </c>
    </row>
    <row r="924" spans="1:4" x14ac:dyDescent="0.35">
      <c r="A924" s="2" t="s">
        <v>1105</v>
      </c>
      <c r="B924" s="2" t="s">
        <v>1176</v>
      </c>
    </row>
    <row r="925" spans="1:4" x14ac:dyDescent="0.35">
      <c r="A925" s="2" t="s">
        <v>1573</v>
      </c>
      <c r="B925" s="2" t="s">
        <v>1980</v>
      </c>
    </row>
    <row r="926" spans="1:4" x14ac:dyDescent="0.35">
      <c r="A926" s="2" t="s">
        <v>1607</v>
      </c>
      <c r="B926" s="2" t="s">
        <v>2655</v>
      </c>
    </row>
    <row r="927" spans="1:4" x14ac:dyDescent="0.35">
      <c r="A927" s="2" t="s">
        <v>2352</v>
      </c>
      <c r="B927" s="2" t="s">
        <v>2262</v>
      </c>
    </row>
    <row r="928" spans="1:4" x14ac:dyDescent="0.35">
      <c r="A928" s="2" t="s">
        <v>3406</v>
      </c>
      <c r="B928" s="2" t="s">
        <v>861</v>
      </c>
    </row>
    <row r="929" spans="1:4" x14ac:dyDescent="0.35">
      <c r="A929" s="2" t="s">
        <v>3408</v>
      </c>
      <c r="B929" s="2" t="s">
        <v>2264</v>
      </c>
    </row>
    <row r="930" spans="1:4" x14ac:dyDescent="0.35">
      <c r="A930" s="2" t="s">
        <v>3410</v>
      </c>
      <c r="B930" s="2" t="s">
        <v>2263</v>
      </c>
    </row>
    <row r="931" spans="1:4" x14ac:dyDescent="0.35">
      <c r="A931" s="2" t="s">
        <v>2605</v>
      </c>
      <c r="B931" s="2" t="s">
        <v>2298</v>
      </c>
    </row>
    <row r="932" spans="1:4" x14ac:dyDescent="0.35">
      <c r="A932" s="2" t="s">
        <v>2606</v>
      </c>
      <c r="B932" s="2" t="s">
        <v>77</v>
      </c>
    </row>
    <row r="933" spans="1:4" ht="16" thickBot="1" x14ac:dyDescent="0.4"/>
    <row r="934" spans="1:4" ht="16.5" thickTop="1" thickBot="1" x14ac:dyDescent="0.4">
      <c r="B934" s="76" t="str">
        <f ca="1">[1]!alpha_ans($C$934)</f>
        <v>A</v>
      </c>
      <c r="C934" s="79" t="str">
        <f ca="1" xml:space="preserve"> "/\" &amp;RANDBETWEEN( 1,5) &amp; "/\" &amp;RANDBETWEEN( 1,120) &amp; "/\" &amp;B924 &amp; "/\" &amp; B923 &amp; "/\" &amp; B926 &amp; "/\" &amp; B925 &amp; "/\" &amp; B928 &amp; "/\" &amp; B927 &amp; "/\" &amp; B930 &amp; "/\" &amp; B929 &amp; "/\" &amp; B932 &amp; "/\" &amp; B931</f>
        <v>/\1/\101/\publicly traded bond prices move dramatically when a rating change is announced/\publicly traded bond prices hardly move when a rating change is announced/\a rating change from C to B implies fewer institutions will be allowed to own the bond/\a rating change from C to B implies more institutions will be allowed to own the bond/\a rating change from C to B implies the spread between the bond and Treasuries probably will widen/\a rating change from C to B implies the spread between the bond and Treasuries probably will narrow/\a C-rated bond is more creditworthy than an A-rated bond/\a C-rated bond has more default risk than an A-rated bond/\the interest rate that an issuer must pay is higher for an A-rated than for a C-rated bond/\the interest rate that an issuer must pay is lower for an A-rated than for a C-rated bond</v>
      </c>
      <c r="D934" s="80" t="s">
        <v>78</v>
      </c>
    </row>
    <row r="935" spans="1:4" ht="16" thickTop="1" x14ac:dyDescent="0.35">
      <c r="B935" s="81" t="str">
        <f ca="1">[1]!standardV_A($C$934)</f>
        <v>the interest rate that an issuer must pay is higher for an A-rated than for a C-rated bond</v>
      </c>
      <c r="C935" s="82"/>
      <c r="D935" s="77"/>
    </row>
    <row r="936" spans="1:4" x14ac:dyDescent="0.35">
      <c r="B936" s="81" t="str">
        <f ca="1">[1]!standardV_B($C$934)</f>
        <v>publicly traded bond prices hardly move when a rating change is announced</v>
      </c>
      <c r="C936" s="82"/>
      <c r="D936" s="77"/>
    </row>
    <row r="937" spans="1:4" x14ac:dyDescent="0.35">
      <c r="B937" s="81" t="str">
        <f ca="1">[1]!standardV_C($C$934)</f>
        <v>a C-rated bond has more default risk than an A-rated bond</v>
      </c>
      <c r="C937" s="82"/>
      <c r="D937" s="77"/>
    </row>
    <row r="938" spans="1:4" x14ac:dyDescent="0.35">
      <c r="B938" s="81" t="str">
        <f ca="1">[1]!standardV_D($C$934)</f>
        <v>a rating change from C to B implies more institutions will be allowed to own the bond</v>
      </c>
      <c r="C938" s="82"/>
      <c r="D938" s="77"/>
    </row>
    <row r="939" spans="1:4" ht="16" thickBot="1" x14ac:dyDescent="0.4">
      <c r="B939" s="83" t="str">
        <f ca="1">[1]!standardV_E($C$934)</f>
        <v>a rating change from C to B implies the spread between the bond and Treasuries probably will narrow</v>
      </c>
      <c r="C939" s="84"/>
      <c r="D939" s="78"/>
    </row>
    <row r="940" spans="1:4" ht="16" thickTop="1" x14ac:dyDescent="0.35"/>
    <row r="942" spans="1:4" x14ac:dyDescent="0.35">
      <c r="A942" s="88" t="s">
        <v>79</v>
      </c>
    </row>
    <row r="943" spans="1:4" x14ac:dyDescent="0.35">
      <c r="A943" s="6" t="s">
        <v>2557</v>
      </c>
      <c r="B943" s="12">
        <f ca="1">RANDBETWEEN(20,30)/100*(IF(RANDBETWEEN(0,1)=0,1,-1))</f>
        <v>-0.28000000000000003</v>
      </c>
    </row>
    <row r="944" spans="1:4" x14ac:dyDescent="0.35">
      <c r="A944" s="6" t="s">
        <v>2912</v>
      </c>
      <c r="B944" s="2" t="str">
        <f ca="1">IF(B943&gt;0,"Interest rates probably fell dramatically that year","Interest rates probably rose dramatically that year")</f>
        <v>Interest rates probably rose dramatically that year</v>
      </c>
    </row>
    <row r="945" spans="1:4" x14ac:dyDescent="0.35">
      <c r="A945" s="6" t="s">
        <v>3233</v>
      </c>
      <c r="B945" s="2" t="str">
        <f ca="1">IF(B943&lt;0,"Interest rates probably fell dramatically that year","Interest rates probably rose dramatically that year")</f>
        <v>Interest rates probably fell dramatically that year</v>
      </c>
    </row>
    <row r="946" spans="1:4" x14ac:dyDescent="0.35">
      <c r="B946" s="2" t="s">
        <v>1976</v>
      </c>
    </row>
    <row r="947" spans="1:4" x14ac:dyDescent="0.35">
      <c r="B947" s="2" t="s">
        <v>210</v>
      </c>
    </row>
    <row r="948" spans="1:4" x14ac:dyDescent="0.35">
      <c r="B948" s="2" t="s">
        <v>598</v>
      </c>
    </row>
    <row r="949" spans="1:4" ht="16" thickBot="1" x14ac:dyDescent="0.4"/>
    <row r="950" spans="1:4" ht="16.5" thickTop="1" thickBot="1" x14ac:dyDescent="0.4">
      <c r="B950" s="76" t="str">
        <f ca="1">[1]!std_ans($C$950)</f>
        <v>C</v>
      </c>
      <c r="C950" s="79" t="str">
        <f ca="1" xml:space="preserve"> "/\" &amp;RANDBETWEEN( 1,120) &amp; "/\" &amp; B944 &amp; "/\" &amp; B945 &amp; "/\" &amp; B946 &amp; "/\" &amp; B947 &amp; "/\" &amp; B948</f>
        <v>/\31/\Interest rates probably rose dramatically that year/\Interest rates probably fell dramatically that year/\Coupon rates probably were relatively high all year long/\Coupon rates probably were relatively low all year long/\The stock market probably lost substantially and bond funds attracted money, thereby driving bond prices</v>
      </c>
      <c r="D950" s="80" t="s">
        <v>80</v>
      </c>
    </row>
    <row r="951" spans="1:4" ht="16" thickTop="1" x14ac:dyDescent="0.35">
      <c r="B951" s="81" t="str">
        <f ca="1">[1]!simpleV_A($C$950)</f>
        <v>Interest rates probably fell dramatically that year</v>
      </c>
      <c r="C951" s="82"/>
      <c r="D951" s="77"/>
    </row>
    <row r="952" spans="1:4" x14ac:dyDescent="0.35">
      <c r="B952" s="81" t="str">
        <f ca="1">[1]!simpleV_B($C$950)</f>
        <v>Coupon rates probably were relatively high all year long</v>
      </c>
      <c r="C952" s="82"/>
      <c r="D952" s="77"/>
    </row>
    <row r="953" spans="1:4" x14ac:dyDescent="0.35">
      <c r="B953" s="81" t="str">
        <f ca="1">[1]!simpleV_C($C$950)</f>
        <v>Interest rates probably rose dramatically that year</v>
      </c>
      <c r="C953" s="82"/>
      <c r="D953" s="77"/>
    </row>
    <row r="954" spans="1:4" x14ac:dyDescent="0.35">
      <c r="B954" s="81" t="str">
        <f ca="1">[1]!simpleV_D($C$950)</f>
        <v>Coupon rates probably were relatively low all year long</v>
      </c>
      <c r="C954" s="82"/>
      <c r="D954" s="77"/>
    </row>
    <row r="955" spans="1:4" ht="16" thickBot="1" x14ac:dyDescent="0.4">
      <c r="B955" s="83" t="str">
        <f ca="1">[1]!simpleV_E($C$950)</f>
        <v>The stock market probably lost substantially and bond funds attracted money, thereby driving bond prices</v>
      </c>
      <c r="C955" s="84"/>
      <c r="D955" s="78"/>
    </row>
    <row r="956" spans="1:4" ht="16" thickTop="1" x14ac:dyDescent="0.35"/>
    <row r="958" spans="1:4" ht="16" thickBot="1" x14ac:dyDescent="0.4">
      <c r="A958" s="88" t="s">
        <v>2133</v>
      </c>
    </row>
    <row r="959" spans="1:4" ht="16.5" thickTop="1" thickBot="1" x14ac:dyDescent="0.4">
      <c r="B959" s="76" t="str">
        <f ca="1">[1]!std_ans($C$959)</f>
        <v>B</v>
      </c>
      <c r="C959" s="79" t="str">
        <f ca="1" xml:space="preserve"> "/\" &amp;RANDBETWEEN( 1,120) &amp; "/\" &amp; "The sum of 30 stock prices divided by a divisor that diminishes whenever a component stock splits." &amp; "/\" &amp; "The sum of 30 stock prices divided by 30." &amp; "/\" &amp; "The geometric average of the 500 stock prices for the S&amp;P 500 companies." &amp; "/\" &amp; "The sum of stock prices for the 100 stocks in the Dow Jones Industrial index." &amp; "/\" &amp; "The sum of stock prices for the 100 stocks in the Dow Jones Industrial, Transportation, and Financial indexes."</f>
        <v>/\28/\The sum of 30 stock prices divided by a divisor that diminishes whenever a component stock splits./\The sum of 30 stock prices divided by 30./\The geometric average of the 500 stock prices for the S&amp;P 500 companies./\The sum of stock prices for the 100 stocks in the Dow Jones Industrial index./\The sum of stock prices for the 100 stocks in the Dow Jones Industrial, Transportation, and Financial indexes.</v>
      </c>
      <c r="D959" s="80" t="s">
        <v>2134</v>
      </c>
    </row>
    <row r="960" spans="1:4" ht="16" thickTop="1" x14ac:dyDescent="0.35">
      <c r="B960" s="81" t="str">
        <f ca="1">[1]!simpleV_A($C$959)</f>
        <v>The sum of 30 stock prices divided by 30.</v>
      </c>
      <c r="C960" s="82"/>
      <c r="D960" s="77"/>
    </row>
    <row r="961" spans="1:4" x14ac:dyDescent="0.35">
      <c r="B961" s="81" t="str">
        <f ca="1">[1]!simpleV_B($C$959)</f>
        <v>The sum of 30 stock prices divided by a divisor that diminishes whenever a component stock splits.</v>
      </c>
      <c r="C961" s="82"/>
      <c r="D961" s="77"/>
    </row>
    <row r="962" spans="1:4" x14ac:dyDescent="0.35">
      <c r="B962" s="81" t="str">
        <f ca="1">[1]!simpleV_C($C$959)</f>
        <v>The sum of stock prices for the 100 stocks in the Dow Jones Industrial index.</v>
      </c>
      <c r="C962" s="82"/>
      <c r="D962" s="77"/>
    </row>
    <row r="963" spans="1:4" x14ac:dyDescent="0.35">
      <c r="B963" s="81" t="str">
        <f ca="1">[1]!simpleV_D($C$959)</f>
        <v>The sum of stock prices for the 100 stocks in the Dow Jones Industrial, Transportation, and Financial indexes.</v>
      </c>
      <c r="C963" s="82"/>
      <c r="D963" s="77"/>
    </row>
    <row r="964" spans="1:4" ht="16" thickBot="1" x14ac:dyDescent="0.4">
      <c r="B964" s="83" t="str">
        <f ca="1">[1]!simpleV_E($C$959)</f>
        <v>The geometric average of the 500 stock prices for the S&amp;P 500 companies.</v>
      </c>
      <c r="C964" s="84"/>
      <c r="D964" s="78"/>
    </row>
    <row r="965" spans="1:4" ht="16" thickTop="1" x14ac:dyDescent="0.35"/>
    <row r="967" spans="1:4" x14ac:dyDescent="0.35">
      <c r="A967" s="88" t="s">
        <v>1172</v>
      </c>
    </row>
    <row r="968" spans="1:4" x14ac:dyDescent="0.35">
      <c r="A968" s="5" t="s">
        <v>372</v>
      </c>
      <c r="B968" s="2" t="str">
        <f ca="1">IF(RANDBETWEEN(0,1)=0,"must earn 2 to 4 points more than the index in order to pay trading costs","must earn 3 points more than the index in order to pay capital gains taxes ")</f>
        <v xml:space="preserve">must earn 3 points more than the index in order to pay capital gains taxes </v>
      </c>
    </row>
    <row r="969" spans="1:4" x14ac:dyDescent="0.35">
      <c r="A969" s="5" t="s">
        <v>1683</v>
      </c>
      <c r="B969" s="2" t="s">
        <v>1716</v>
      </c>
    </row>
    <row r="970" spans="1:4" x14ac:dyDescent="0.35">
      <c r="B970" s="2" t="s">
        <v>650</v>
      </c>
    </row>
    <row r="971" spans="1:4" x14ac:dyDescent="0.35">
      <c r="B971" s="2" t="s">
        <v>651</v>
      </c>
    </row>
    <row r="972" spans="1:4" x14ac:dyDescent="0.35">
      <c r="B972" s="2" t="s">
        <v>3261</v>
      </c>
    </row>
    <row r="973" spans="1:4" ht="16" thickBot="1" x14ac:dyDescent="0.4"/>
    <row r="974" spans="1:4" ht="16.5" thickTop="1" thickBot="1" x14ac:dyDescent="0.4">
      <c r="B974" s="76" t="str">
        <f ca="1">[1]!std_ans($C$974)</f>
        <v>A</v>
      </c>
      <c r="C974" s="79" t="str">
        <f ca="1" xml:space="preserve"> "/\" &amp;RANDBETWEEN( 1,120) &amp; "/\" &amp; B968 &amp; "/\" &amp; B969 &amp; "/\" &amp; B970 &amp; "/\" &amp; B971 &amp; "/\" &amp; B972</f>
        <v>/\1/\must earn 3 points more than the index in order to pay capital gains taxes /\must pick a winning small capitalization stock that quadruples in price/\must pick a small capitalization stock and hold it for several years/\must invest in the stocks in the index but overweight purchases in stocks with high dividend growth rates/\must invest in small capitalization stocks with high dividend yields</v>
      </c>
      <c r="D974" s="80" t="s">
        <v>1935</v>
      </c>
    </row>
    <row r="975" spans="1:4" ht="16" thickTop="1" x14ac:dyDescent="0.35">
      <c r="B975" s="81" t="str">
        <f ca="1">[1]!simpleV_A($C$974)</f>
        <v xml:space="preserve">must earn 3 points more than the index in order to pay capital gains taxes </v>
      </c>
      <c r="C975" s="82"/>
      <c r="D975" s="77"/>
    </row>
    <row r="976" spans="1:4" x14ac:dyDescent="0.35">
      <c r="B976" s="81" t="str">
        <f ca="1">[1]!simpleV_B($C$974)</f>
        <v>must pick a winning small capitalization stock that quadruples in price</v>
      </c>
      <c r="C976" s="82"/>
      <c r="D976" s="77"/>
    </row>
    <row r="977" spans="1:4" x14ac:dyDescent="0.35">
      <c r="B977" s="81" t="str">
        <f ca="1">[1]!simpleV_C($C$974)</f>
        <v>must pick a small capitalization stock and hold it for several years</v>
      </c>
      <c r="C977" s="82"/>
      <c r="D977" s="77"/>
    </row>
    <row r="978" spans="1:4" x14ac:dyDescent="0.35">
      <c r="B978" s="81" t="str">
        <f ca="1">[1]!simpleV_D($C$974)</f>
        <v>must invest in the stocks in the index but overweight purchases in stocks with high dividend growth rates</v>
      </c>
      <c r="C978" s="82"/>
      <c r="D978" s="77"/>
    </row>
    <row r="979" spans="1:4" ht="16" thickBot="1" x14ac:dyDescent="0.4">
      <c r="B979" s="83" t="str">
        <f ca="1">[1]!simpleV_E($C$974)</f>
        <v>must invest in small capitalization stocks with high dividend yields</v>
      </c>
      <c r="C979" s="84"/>
      <c r="D979" s="78"/>
    </row>
    <row r="980" spans="1:4" ht="16" thickTop="1" x14ac:dyDescent="0.35"/>
    <row r="982" spans="1:4" x14ac:dyDescent="0.35">
      <c r="A982" s="88" t="s">
        <v>2953</v>
      </c>
    </row>
    <row r="983" spans="1:4" x14ac:dyDescent="0.35">
      <c r="A983" s="5" t="s">
        <v>372</v>
      </c>
      <c r="B983" s="2" t="str">
        <f ca="1">IF((RANDBETWEEN(0,1))=0,"accounting for mergers and acquisitions","derivative securities as employee compensation")</f>
        <v>accounting for mergers and acquisitions</v>
      </c>
    </row>
    <row r="984" spans="1:4" x14ac:dyDescent="0.35">
      <c r="A984" s="5" t="s">
        <v>1683</v>
      </c>
      <c r="B984" s="2" t="str">
        <f ca="1">IF((RANDBETWEEN(0,1))=0,"current cost inflation adjustments","historical cost depreciation accounting for PP&amp;E")</f>
        <v>historical cost depreciation accounting for PP&amp;E</v>
      </c>
    </row>
    <row r="985" spans="1:4" x14ac:dyDescent="0.35">
      <c r="B985" s="2" t="str">
        <f ca="1">IF((RANDBETWEEN(0,1))=0,"effect of deferred taxes on net income","double-taxation of corporate profits")</f>
        <v>double-taxation of corporate profits</v>
      </c>
    </row>
    <row r="986" spans="1:4" x14ac:dyDescent="0.35">
      <c r="B986" s="2" t="str">
        <f ca="1">IF((RANDBETWEEN(0,1))=0,"proper application of DuPont analyses","uses and limitations of ratio analyses")</f>
        <v>uses and limitations of ratio analyses</v>
      </c>
    </row>
    <row r="987" spans="1:4" x14ac:dyDescent="0.35">
      <c r="B987" s="2" t="str">
        <f ca="1">IF((RANDBETWEEN(0,1))=0,"properly distinguishing between flows and balances","separation of interest into real versus nominal components")</f>
        <v>properly distinguishing between flows and balances</v>
      </c>
    </row>
    <row r="988" spans="1:4" ht="16" thickBot="1" x14ac:dyDescent="0.4"/>
    <row r="989" spans="1:4" ht="16.5" thickTop="1" thickBot="1" x14ac:dyDescent="0.4">
      <c r="B989" s="76" t="str">
        <f ca="1">[1]!std_ans($C$989)</f>
        <v>A</v>
      </c>
      <c r="C989" s="79" t="str">
        <f ca="1" xml:space="preserve"> "/\" &amp;RANDBETWEEN( 1,120) &amp; "/\" &amp; B983 &amp; "/\" &amp; B984 &amp; "/\" &amp; B985 &amp; "/\" &amp; B986 &amp; "/\" &amp; B987</f>
        <v>/\4/\accounting for mergers and acquisitions/\historical cost depreciation accounting for PP&amp;E/\double-taxation of corporate profits/\uses and limitations of ratio analyses/\properly distinguishing between flows and balances</v>
      </c>
      <c r="D989" s="80" t="s">
        <v>2954</v>
      </c>
    </row>
    <row r="990" spans="1:4" ht="16" thickTop="1" x14ac:dyDescent="0.35">
      <c r="B990" s="81" t="str">
        <f ca="1">[1]!simpleV_A($C$989)</f>
        <v>accounting for mergers and acquisitions</v>
      </c>
      <c r="C990" s="82"/>
      <c r="D990" s="77"/>
    </row>
    <row r="991" spans="1:4" x14ac:dyDescent="0.35">
      <c r="B991" s="81" t="str">
        <f ca="1">[1]!simpleV_B($C$989)</f>
        <v>historical cost depreciation accounting for PP&amp;E</v>
      </c>
      <c r="C991" s="82"/>
      <c r="D991" s="77"/>
    </row>
    <row r="992" spans="1:4" x14ac:dyDescent="0.35">
      <c r="B992" s="81" t="str">
        <f ca="1">[1]!simpleV_C($C$989)</f>
        <v>uses and limitations of ratio analyses</v>
      </c>
      <c r="C992" s="82"/>
      <c r="D992" s="77"/>
    </row>
    <row r="993" spans="1:4" x14ac:dyDescent="0.35">
      <c r="B993" s="81" t="str">
        <f ca="1">[1]!simpleV_D($C$989)</f>
        <v>properly distinguishing between flows and balances</v>
      </c>
      <c r="C993" s="82"/>
      <c r="D993" s="77"/>
    </row>
    <row r="994" spans="1:4" ht="16" thickBot="1" x14ac:dyDescent="0.4">
      <c r="B994" s="83" t="str">
        <f ca="1">[1]!simpleV_E($C$989)</f>
        <v>double-taxation of corporate profits</v>
      </c>
      <c r="C994" s="84"/>
      <c r="D994" s="78"/>
    </row>
    <row r="995" spans="1:4" ht="16" thickTop="1" x14ac:dyDescent="0.35"/>
    <row r="997" spans="1:4" x14ac:dyDescent="0.35">
      <c r="A997" s="88" t="s">
        <v>2955</v>
      </c>
    </row>
    <row r="998" spans="1:4" x14ac:dyDescent="0.35">
      <c r="A998" s="5" t="s">
        <v>372</v>
      </c>
      <c r="B998" s="2" t="str">
        <f ca="1">IF((RANDBETWEEN(0,1))=0,"FASB wants balance sheets to show all significant balances regardless of whether they are realized or accrued","FASB wants income statements to show all significant cash flows regardless of whether they are realized or accrued")</f>
        <v>FASB wants balance sheets to show all significant balances regardless of whether they are realized or accrued</v>
      </c>
    </row>
    <row r="999" spans="1:4" x14ac:dyDescent="0.35">
      <c r="A999" s="5" t="s">
        <v>1683</v>
      </c>
      <c r="B999" s="2" t="s">
        <v>644</v>
      </c>
    </row>
    <row r="1000" spans="1:4" x14ac:dyDescent="0.35">
      <c r="B1000" s="2" t="s">
        <v>1347</v>
      </c>
    </row>
    <row r="1001" spans="1:4" x14ac:dyDescent="0.35">
      <c r="B1001" s="2" t="s">
        <v>3150</v>
      </c>
    </row>
    <row r="1002" spans="1:4" x14ac:dyDescent="0.35">
      <c r="B1002" s="2" t="s">
        <v>2688</v>
      </c>
    </row>
    <row r="1003" spans="1:4" ht="16" thickBot="1" x14ac:dyDescent="0.4"/>
    <row r="1004" spans="1:4" ht="16.5" thickTop="1" thickBot="1" x14ac:dyDescent="0.4">
      <c r="B1004" s="76" t="str">
        <f ca="1">[1]!std_ans($C$1004)</f>
        <v>A</v>
      </c>
      <c r="C1004" s="79" t="str">
        <f ca="1" xml:space="preserve"> "/\" &amp;RANDBETWEEN( 1,120) &amp; "/\" &amp; B998 &amp; "/\" &amp; B999 &amp; "/\" &amp; B1000 &amp; "/\" &amp; B1001 &amp; "/\" &amp; B1002</f>
        <v>/\17/\FASB wants balance sheets to show all significant balances regardless of whether they are realized or accrued/\FASB wants balance sheets to show only realized balances /\FASB wants income statements to show only realized cash flows/\FASB wants balance sheets to show only accrued balances /\FASB wants income statements to show only accrued cash flows</v>
      </c>
      <c r="D1004" s="80" t="s">
        <v>47</v>
      </c>
    </row>
    <row r="1005" spans="1:4" ht="16" thickTop="1" x14ac:dyDescent="0.35">
      <c r="B1005" s="81" t="str">
        <f ca="1">[1]!simpleV_A($C$1004)</f>
        <v>FASB wants balance sheets to show all significant balances regardless of whether they are realized or accrued</v>
      </c>
      <c r="C1005" s="82"/>
      <c r="D1005" s="77"/>
    </row>
    <row r="1006" spans="1:4" x14ac:dyDescent="0.35">
      <c r="B1006" s="81" t="str">
        <f ca="1">[1]!simpleV_B($C$1004)</f>
        <v xml:space="preserve">FASB wants balance sheets to show only accrued balances </v>
      </c>
      <c r="C1006" s="82"/>
      <c r="D1006" s="77"/>
    </row>
    <row r="1007" spans="1:4" x14ac:dyDescent="0.35">
      <c r="B1007" s="81" t="str">
        <f ca="1">[1]!simpleV_C($C$1004)</f>
        <v>FASB wants income statements to show only accrued cash flows</v>
      </c>
      <c r="C1007" s="82"/>
      <c r="D1007" s="77"/>
    </row>
    <row r="1008" spans="1:4" x14ac:dyDescent="0.35">
      <c r="B1008" s="81" t="str">
        <f ca="1">[1]!simpleV_D($C$1004)</f>
        <v xml:space="preserve">FASB wants balance sheets to show only realized balances </v>
      </c>
      <c r="C1008" s="82"/>
      <c r="D1008" s="77"/>
    </row>
    <row r="1009" spans="1:4" ht="16" thickBot="1" x14ac:dyDescent="0.4">
      <c r="B1009" s="83" t="str">
        <f ca="1">[1]!simpleV_E($C$1004)</f>
        <v>FASB wants income statements to show only realized cash flows</v>
      </c>
      <c r="C1009" s="84"/>
      <c r="D1009" s="78"/>
    </row>
    <row r="1010" spans="1:4" ht="16" thickTop="1" x14ac:dyDescent="0.35"/>
    <row r="1012" spans="1:4" x14ac:dyDescent="0.35">
      <c r="A1012" s="88" t="s">
        <v>48</v>
      </c>
    </row>
    <row r="1013" spans="1:4" x14ac:dyDescent="0.35">
      <c r="A1013" s="2">
        <f ca="1">(RANDBETWEEN(0,1))</f>
        <v>0</v>
      </c>
      <c r="B1013" s="2" t="str">
        <f ca="1">IF(A1013=0,"smallest","biggest")</f>
        <v>smallest</v>
      </c>
    </row>
    <row r="1014" spans="1:4" x14ac:dyDescent="0.35">
      <c r="A1014" s="45" t="s">
        <v>372</v>
      </c>
      <c r="B1014" s="2" t="str">
        <f ca="1">IF(A1013=0,"an investment which generates most cash flows at the end of its service life.","an investment which generates most cash flows at the beginning of its service life.")</f>
        <v>an investment which generates most cash flows at the end of its service life.</v>
      </c>
    </row>
    <row r="1015" spans="1:4" x14ac:dyDescent="0.35">
      <c r="A1015" s="45" t="s">
        <v>1683</v>
      </c>
      <c r="B1015" s="2" t="s">
        <v>958</v>
      </c>
    </row>
    <row r="1016" spans="1:4" x14ac:dyDescent="0.35">
      <c r="A1016" s="36"/>
      <c r="B1016" s="2" t="s">
        <v>1389</v>
      </c>
    </row>
    <row r="1017" spans="1:4" x14ac:dyDescent="0.35">
      <c r="A1017" s="36"/>
      <c r="B1017" s="2" t="str">
        <f ca="1">IF(A1013=0,"an investment that is being discounted by a small discount rate.","an investment that is being discounted by a large discount rate.")</f>
        <v>an investment that is being discounted by a small discount rate.</v>
      </c>
    </row>
    <row r="1018" spans="1:4" x14ac:dyDescent="0.35">
      <c r="A1018" s="36"/>
      <c r="B1018" s="2" t="s">
        <v>1504</v>
      </c>
    </row>
    <row r="1019" spans="1:4" ht="16" thickBot="1" x14ac:dyDescent="0.4"/>
    <row r="1020" spans="1:4" ht="16.5" thickTop="1" thickBot="1" x14ac:dyDescent="0.4">
      <c r="B1020" s="76" t="str">
        <f ca="1">[1]!std_ans($C$1020)</f>
        <v>D</v>
      </c>
      <c r="C1020" s="79" t="str">
        <f ca="1" xml:space="preserve"> "/\" &amp;RANDBETWEEN( 1,120) &amp; "/\" &amp; B1014 &amp; "/\" &amp; B1015 &amp; "/\" &amp; B1016 &amp; "/\" &amp; B1017 &amp; "/\" &amp; B1018</f>
        <v>/\93/\an investment which generates most cash flows at the end of its service life./\an investment which generates equal cash flows each period./\there is no reliable relationship between the distribution of cash flows and present value./\an investment that is being discounted by a small discount rate./\an investment that has relatively high sales revenues.</v>
      </c>
      <c r="D1020" s="80" t="s">
        <v>2240</v>
      </c>
    </row>
    <row r="1021" spans="1:4" ht="16" thickTop="1" x14ac:dyDescent="0.35">
      <c r="B1021" s="81" t="str">
        <f ca="1">[1]!simpleV_A($C$1020)</f>
        <v>an investment that is being discounted by a small discount rate.</v>
      </c>
      <c r="C1021" s="82"/>
      <c r="D1021" s="77"/>
    </row>
    <row r="1022" spans="1:4" x14ac:dyDescent="0.35">
      <c r="B1022" s="81" t="str">
        <f ca="1">[1]!simpleV_B($C$1020)</f>
        <v>an investment that has relatively high sales revenues.</v>
      </c>
      <c r="C1022" s="82"/>
      <c r="D1022" s="77"/>
    </row>
    <row r="1023" spans="1:4" x14ac:dyDescent="0.35">
      <c r="B1023" s="81" t="str">
        <f ca="1">[1]!simpleV_C($C$1020)</f>
        <v>an investment which generates equal cash flows each period.</v>
      </c>
      <c r="C1023" s="82"/>
      <c r="D1023" s="77"/>
    </row>
    <row r="1024" spans="1:4" x14ac:dyDescent="0.35">
      <c r="B1024" s="81" t="str">
        <f ca="1">[1]!simpleV_D($C$1020)</f>
        <v>an investment which generates most cash flows at the end of its service life.</v>
      </c>
      <c r="C1024" s="82"/>
      <c r="D1024" s="77"/>
    </row>
    <row r="1025" spans="1:4" ht="16" thickBot="1" x14ac:dyDescent="0.4">
      <c r="B1025" s="83" t="str">
        <f ca="1">[1]!simpleV_E($C$1020)</f>
        <v>there is no reliable relationship between the distribution of cash flows and present value.</v>
      </c>
      <c r="C1025" s="84"/>
      <c r="D1025" s="78"/>
    </row>
    <row r="1026" spans="1:4" ht="16" thickTop="1" x14ac:dyDescent="0.35"/>
    <row r="1028" spans="1:4" x14ac:dyDescent="0.35">
      <c r="A1028" s="88" t="s">
        <v>834</v>
      </c>
    </row>
    <row r="1029" spans="1:4" x14ac:dyDescent="0.35">
      <c r="A1029" s="5" t="s">
        <v>372</v>
      </c>
      <c r="B1029" s="2" t="str">
        <f ca="1">IF((RANDBETWEEN(0,1))=1,"the annual average rate of return over the past 70 years has been higher for small company stocks than for large company stocks","the annual average rate of return over the past 70 years has been higher for large company stocks than for corporate bonds")</f>
        <v>the annual average rate of return over the past 70 years has been higher for small company stocks than for large company stocks</v>
      </c>
    </row>
    <row r="1030" spans="1:4" x14ac:dyDescent="0.35">
      <c r="A1030" s="5" t="s">
        <v>1683</v>
      </c>
      <c r="B1030" s="2" t="s">
        <v>2895</v>
      </c>
    </row>
    <row r="1031" spans="1:4" x14ac:dyDescent="0.35">
      <c r="A1031" s="5"/>
      <c r="B1031" s="2" t="s">
        <v>730</v>
      </c>
    </row>
    <row r="1032" spans="1:4" x14ac:dyDescent="0.35">
      <c r="A1032" s="5"/>
      <c r="B1032" s="2" t="s">
        <v>1709</v>
      </c>
    </row>
    <row r="1033" spans="1:4" x14ac:dyDescent="0.35">
      <c r="A1033" s="5"/>
      <c r="B1033" s="2" t="s">
        <v>3643</v>
      </c>
    </row>
    <row r="1034" spans="1:4" ht="16" thickBot="1" x14ac:dyDescent="0.4"/>
    <row r="1035" spans="1:4" ht="16.5" thickTop="1" thickBot="1" x14ac:dyDescent="0.4">
      <c r="B1035" s="76" t="str">
        <f ca="1">[1]!std_ans($C$1035)</f>
        <v>B</v>
      </c>
      <c r="C1035" s="79" t="str">
        <f ca="1" xml:space="preserve"> "/\" &amp;RANDBETWEEN( 1,120) &amp; "/\" &amp; B1029 &amp; "/\" &amp; B1030 &amp; "/\" &amp; B1031 &amp; "/\" &amp; B1032 &amp; "/\" &amp; B1033</f>
        <v>/\54/\the annual average rate of return over the past 70 years has been higher for small company stocks than for large company stocks/\the annual average rate of return over the past 70 years has been higher for T-bills than for small company stocks/\the annual average rate of return over the past 70 years has been higher for T-bills than for large company stocks/\the annual average rate of return over the past 10 years has been higher for corporate bonds than for large company stocks/\the annual average rate of return over the past 70 years has been higher for long-term government securities than for large company stocks</v>
      </c>
      <c r="D1035" s="80" t="s">
        <v>1122</v>
      </c>
    </row>
    <row r="1036" spans="1:4" ht="16" thickTop="1" x14ac:dyDescent="0.35">
      <c r="B1036" s="81" t="str">
        <f ca="1">[1]!simpleV_A($C$1035)</f>
        <v>the annual average rate of return over the past 70 years has been higher for T-bills than for large company stocks</v>
      </c>
      <c r="C1036" s="82"/>
      <c r="D1036" s="77"/>
    </row>
    <row r="1037" spans="1:4" x14ac:dyDescent="0.35">
      <c r="B1037" s="81" t="str">
        <f ca="1">[1]!simpleV_B($C$1035)</f>
        <v>the annual average rate of return over the past 70 years has been higher for small company stocks than for large company stocks</v>
      </c>
      <c r="C1037" s="82"/>
      <c r="D1037" s="77"/>
    </row>
    <row r="1038" spans="1:4" x14ac:dyDescent="0.35">
      <c r="B1038" s="81" t="str">
        <f ca="1">[1]!simpleV_C($C$1035)</f>
        <v>the annual average rate of return over the past 70 years has been higher for long-term government securities than for large company stocks</v>
      </c>
      <c r="C1038" s="82"/>
      <c r="D1038" s="77"/>
    </row>
    <row r="1039" spans="1:4" x14ac:dyDescent="0.35">
      <c r="B1039" s="81" t="str">
        <f ca="1">[1]!simpleV_D($C$1035)</f>
        <v>the annual average rate of return over the past 10 years has been higher for corporate bonds than for large company stocks</v>
      </c>
      <c r="C1039" s="82"/>
      <c r="D1039" s="77"/>
    </row>
    <row r="1040" spans="1:4" ht="16" thickBot="1" x14ac:dyDescent="0.4">
      <c r="B1040" s="83" t="str">
        <f ca="1">[1]!simpleV_E($C$1035)</f>
        <v>the annual average rate of return over the past 70 years has been higher for T-bills than for small company stocks</v>
      </c>
      <c r="C1040" s="84"/>
      <c r="D1040" s="78"/>
    </row>
    <row r="1041" spans="1:9" ht="16" thickTop="1" x14ac:dyDescent="0.35"/>
    <row r="1043" spans="1:9" x14ac:dyDescent="0.35">
      <c r="A1043" s="88" t="s">
        <v>2132</v>
      </c>
    </row>
    <row r="1044" spans="1:9" x14ac:dyDescent="0.35">
      <c r="A1044" s="67"/>
      <c r="B1044" s="67"/>
      <c r="C1044" s="67"/>
      <c r="D1044" s="67"/>
      <c r="E1044" s="69" t="s">
        <v>3313</v>
      </c>
      <c r="F1044" s="69"/>
      <c r="G1044" s="69"/>
    </row>
    <row r="1045" spans="1:9" x14ac:dyDescent="0.35">
      <c r="A1045" s="67" t="str">
        <f ca="1">INDEX(E1045:H1045,RANDBETWEEN(1,4))</f>
        <v>IBM</v>
      </c>
      <c r="B1045" s="70" t="s">
        <v>1318</v>
      </c>
      <c r="D1045" s="67"/>
      <c r="E1045" s="67" t="s">
        <v>1319</v>
      </c>
      <c r="F1045" s="67" t="s">
        <v>1320</v>
      </c>
      <c r="G1045" s="67" t="s">
        <v>1321</v>
      </c>
      <c r="H1045" s="2" t="s">
        <v>1322</v>
      </c>
    </row>
    <row r="1046" spans="1:9" x14ac:dyDescent="0.35">
      <c r="A1046" s="68" t="str">
        <f ca="1">IF((RANDBETWEEN(0,1))=0,E1046,F1046)</f>
        <v>loss</v>
      </c>
      <c r="B1046" s="70" t="s">
        <v>1108</v>
      </c>
      <c r="D1046" s="67"/>
      <c r="E1046" s="67" t="s">
        <v>1109</v>
      </c>
      <c r="F1046" s="67" t="s">
        <v>1110</v>
      </c>
      <c r="G1046" s="67"/>
    </row>
    <row r="1047" spans="1:9" x14ac:dyDescent="0.35">
      <c r="A1047" s="68" t="str">
        <f ca="1">IF((RANDBETWEEN(0,1))=0,E1047,F1047)</f>
        <v>goodnews</v>
      </c>
      <c r="B1047" s="67" t="s">
        <v>654</v>
      </c>
      <c r="D1047" s="67"/>
      <c r="E1047" s="67" t="s">
        <v>655</v>
      </c>
      <c r="F1047" s="67" t="s">
        <v>656</v>
      </c>
      <c r="G1047" s="67"/>
    </row>
    <row r="1048" spans="1:9" x14ac:dyDescent="0.35">
      <c r="A1048" s="323">
        <f ca="1">RANDBETWEEN(9,25)/10*IF(A1046="profit",1,-1)</f>
        <v>-1.4</v>
      </c>
      <c r="B1048" s="70" t="s">
        <v>657</v>
      </c>
      <c r="D1048" s="67"/>
      <c r="E1048" s="67"/>
      <c r="F1048" s="67"/>
      <c r="G1048" s="68" t="s">
        <v>2011</v>
      </c>
      <c r="H1048" s="4" t="s">
        <v>2012</v>
      </c>
      <c r="I1048" s="4" t="s">
        <v>2015</v>
      </c>
    </row>
    <row r="1049" spans="1:9" x14ac:dyDescent="0.35">
      <c r="A1049" s="323">
        <f ca="1">A1048+G1049</f>
        <v>-1.6199999999999999</v>
      </c>
      <c r="B1049" s="70" t="s">
        <v>1300</v>
      </c>
      <c r="D1049" s="67"/>
      <c r="E1049" s="67"/>
      <c r="F1049" s="322" t="s">
        <v>2013</v>
      </c>
      <c r="G1049" s="68">
        <f ca="1">IF(G1051=0,-0.22,-0.43)</f>
        <v>-0.22</v>
      </c>
      <c r="H1049" s="4">
        <f ca="1">IF(G1051=1,-0.22,-0.43)</f>
        <v>-0.43</v>
      </c>
      <c r="I1049" s="4">
        <v>-0.18</v>
      </c>
    </row>
    <row r="1050" spans="1:9" x14ac:dyDescent="0.35">
      <c r="A1050" s="323">
        <f ca="1">A1048+G1050</f>
        <v>-0.90999999999999992</v>
      </c>
      <c r="B1050" s="70" t="s">
        <v>1302</v>
      </c>
      <c r="D1050" s="67"/>
      <c r="E1050" s="67"/>
      <c r="F1050" s="322" t="s">
        <v>2014</v>
      </c>
      <c r="G1050" s="68">
        <f ca="1">IF(G1052=0,0.19,0.49)</f>
        <v>0.49</v>
      </c>
      <c r="H1050" s="4">
        <f ca="1">IF(G1052=1,0.19,0.49)</f>
        <v>0.19</v>
      </c>
      <c r="I1050" s="4">
        <v>0.27</v>
      </c>
    </row>
    <row r="1051" spans="1:9" x14ac:dyDescent="0.35">
      <c r="A1051" s="323">
        <f ca="1">A1048+H1049</f>
        <v>-1.8299999999999998</v>
      </c>
      <c r="B1051" s="70" t="s">
        <v>2010</v>
      </c>
      <c r="D1051" s="67"/>
      <c r="E1051" s="67"/>
      <c r="F1051" s="67"/>
      <c r="G1051" s="67">
        <f ca="1">(RANDBETWEEN(0,1))</f>
        <v>0</v>
      </c>
    </row>
    <row r="1052" spans="1:9" x14ac:dyDescent="0.35">
      <c r="A1052" s="323">
        <f ca="1">A1048+H1050</f>
        <v>-1.21</v>
      </c>
      <c r="B1052" s="70" t="s">
        <v>1301</v>
      </c>
      <c r="D1052" s="67"/>
      <c r="E1052" s="67"/>
      <c r="F1052" s="67"/>
      <c r="G1052" s="67">
        <f ca="1">(RANDBETWEEN(0,1))</f>
        <v>1</v>
      </c>
    </row>
    <row r="1053" spans="1:9" x14ac:dyDescent="0.35">
      <c r="A1053" s="160">
        <f ca="1">A1048+IF(A1047="goodnews",I1050,I1049)</f>
        <v>-1.1299999999999999</v>
      </c>
      <c r="B1053" s="2" t="s">
        <v>2016</v>
      </c>
      <c r="C1053" s="2" t="str">
        <f ca="1">IF(A1047="goodnews","rises","falls")</f>
        <v>rises</v>
      </c>
    </row>
    <row r="1055" spans="1:9" x14ac:dyDescent="0.35">
      <c r="A1055" s="2">
        <f ca="1">(RANDBETWEEN(0,1))</f>
        <v>0</v>
      </c>
      <c r="B1055" s="6" t="s">
        <v>1289</v>
      </c>
      <c r="C1055" s="2" t="str">
        <f ca="1">IF(A1055=0,"The shareprice probably rises if eps that analysts expected was $" &amp; ROUND(A1049,2),"The shareprice probably falls if eps that analysts expected was $" &amp; ROUND(A1050,2))</f>
        <v>The shareprice probably rises if eps that analysts expected was $-1.62</v>
      </c>
      <c r="D1055" s="71"/>
    </row>
    <row r="1056" spans="1:9" x14ac:dyDescent="0.35">
      <c r="B1056" s="189" t="s">
        <v>1299</v>
      </c>
      <c r="C1056" s="123" t="str">
        <f ca="1">IF(A1055=0,"The shareprice probably rises if eps that analysts expected was $" &amp; ROUND(A1050,2),"The shareprice probably falls if eps that analysts expected was $" &amp; ROUND(A1049,2))</f>
        <v>The shareprice probably rises if eps that analysts expected was $-0.91</v>
      </c>
      <c r="D1056" s="71"/>
    </row>
    <row r="1057" spans="1:4" x14ac:dyDescent="0.35">
      <c r="B1057" s="122"/>
      <c r="C1057" s="72" t="str">
        <f ca="1">"The shareprice probably " &amp; C1053 &amp; " if eps that analysts expected was $" &amp;  ROUND(A1053,2)</f>
        <v>The shareprice probably rises if eps that analysts expected was $-1.13</v>
      </c>
      <c r="D1057" s="71"/>
    </row>
    <row r="1058" spans="1:4" x14ac:dyDescent="0.35">
      <c r="B1058" s="122"/>
      <c r="C1058" s="72" t="str">
        <f ca="1">"The shareprice probably rises if the eps that analysts expected was $" &amp; ROUND(A1052,2)</f>
        <v>The shareprice probably rises if the eps that analysts expected was $-1.21</v>
      </c>
      <c r="D1058" s="71"/>
    </row>
    <row r="1059" spans="1:4" x14ac:dyDescent="0.35">
      <c r="B1059" s="122"/>
      <c r="C1059" s="72" t="str">
        <f ca="1">"The shareprice probably falls if the eps that analysts expected was $" &amp; ROUND(A1051,2)</f>
        <v>The shareprice probably falls if the eps that analysts expected was $-1.83</v>
      </c>
      <c r="D1059" s="71"/>
    </row>
    <row r="1060" spans="1:4" x14ac:dyDescent="0.35">
      <c r="B1060" s="72" t="str">
        <f>" "</f>
        <v xml:space="preserve"> </v>
      </c>
      <c r="C1060" s="72"/>
      <c r="D1060" s="71"/>
    </row>
    <row r="1061" spans="1:4" ht="16" thickBot="1" x14ac:dyDescent="0.4"/>
    <row r="1062" spans="1:4" ht="16.5" thickTop="1" thickBot="1" x14ac:dyDescent="0.4">
      <c r="B1062" s="76" t="str">
        <f ca="1">[1]!std_ans($C$1062)</f>
        <v>E</v>
      </c>
      <c r="C1062" s="79" t="str">
        <f ca="1" xml:space="preserve"> "/\" &amp;RANDBETWEEN( 1,120) &amp; "/\" &amp; C1055 &amp; "/\" &amp; C1056 &amp; "/\" &amp; C1057 &amp; "/\" &amp; C1058 &amp; "/\" &amp; C1059</f>
        <v>/\106/\The shareprice probably rises if eps that analysts expected was $-1.62/\The shareprice probably rises if eps that analysts expected was $-0.91/\The shareprice probably rises if eps that analysts expected was $-1.13/\The shareprice probably rises if the eps that analysts expected was $-1.21/\The shareprice probably falls if the eps that analysts expected was $-1.83</v>
      </c>
      <c r="D1062" s="80" t="s">
        <v>1659</v>
      </c>
    </row>
    <row r="1063" spans="1:4" ht="16" thickTop="1" x14ac:dyDescent="0.35">
      <c r="B1063" s="81" t="str">
        <f ca="1">[1]!simpleV_A($C$1062)</f>
        <v>The shareprice probably falls if the eps that analysts expected was $-1.83</v>
      </c>
      <c r="C1063" s="124"/>
      <c r="D1063" s="77"/>
    </row>
    <row r="1064" spans="1:4" x14ac:dyDescent="0.35">
      <c r="B1064" s="81" t="str">
        <f ca="1">[1]!simpleV_B($C$1062)</f>
        <v>The shareprice probably rises if eps that analysts expected was $-0.91</v>
      </c>
      <c r="C1064" s="124"/>
      <c r="D1064" s="77"/>
    </row>
    <row r="1065" spans="1:4" x14ac:dyDescent="0.35">
      <c r="B1065" s="81" t="str">
        <f ca="1">[1]!simpleV_C($C$1062)</f>
        <v>The shareprice probably rises if eps that analysts expected was $-1.13</v>
      </c>
      <c r="C1065" s="124"/>
      <c r="D1065" s="77"/>
    </row>
    <row r="1066" spans="1:4" x14ac:dyDescent="0.35">
      <c r="B1066" s="81" t="str">
        <f ca="1">[1]!simpleV_D($C$1062)</f>
        <v>The shareprice probably rises if the eps that analysts expected was $-1.21</v>
      </c>
      <c r="C1066" s="124"/>
      <c r="D1066" s="77"/>
    </row>
    <row r="1067" spans="1:4" ht="16" thickBot="1" x14ac:dyDescent="0.4">
      <c r="B1067" s="83" t="str">
        <f ca="1">[1]!simpleV_E($C$1062)</f>
        <v>The shareprice probably rises if eps that analysts expected was $-1.62</v>
      </c>
      <c r="C1067" s="125"/>
      <c r="D1067" s="78"/>
    </row>
    <row r="1068" spans="1:4" ht="16" thickTop="1" x14ac:dyDescent="0.35"/>
    <row r="1070" spans="1:4" ht="16" thickBot="1" x14ac:dyDescent="0.4">
      <c r="A1070" s="88" t="s">
        <v>1660</v>
      </c>
    </row>
    <row r="1071" spans="1:4" ht="16.5" thickTop="1" thickBot="1" x14ac:dyDescent="0.4">
      <c r="B1071" s="76" t="str">
        <f ca="1">[1]!std_ans($C$1071)</f>
        <v>A</v>
      </c>
      <c r="C1071" s="79" t="str">
        <f ca="1" xml:space="preserve"> "/\" &amp;RANDBETWEEN( 1,120) &amp; "/\" &amp; " the options position is a right to take action whereas the futures position is an obligation" &amp; "/\" &amp; "the options position is free to enter whereas the futures position is costly" &amp; "/\" &amp; "the options position allows cash settlement whereas the futures position does not" &amp; "/\" &amp; "the futures position is a right to take action whereas the options position is an obligation" &amp; "/\" &amp; "the options position requires collateral whereas the futures position does not"</f>
        <v>/\12/\ the options position is a right to take action whereas the futures position is an obligation/\the options position is free to enter whereas the futures position is costly/\the options position allows cash settlement whereas the futures position does not/\the futures position is a right to take action whereas the options position is an obligation/\the options position requires collateral whereas the futures position does not</v>
      </c>
      <c r="D1071" s="80" t="s">
        <v>1661</v>
      </c>
    </row>
    <row r="1072" spans="1:4" ht="16" thickTop="1" x14ac:dyDescent="0.35">
      <c r="B1072" s="81" t="str">
        <f ca="1">[1]!simpleV_A($C$1071)</f>
        <v xml:space="preserve"> the options position is a right to take action whereas the futures position is an obligation</v>
      </c>
      <c r="C1072" s="82"/>
      <c r="D1072" s="77"/>
    </row>
    <row r="1073" spans="1:4" x14ac:dyDescent="0.35">
      <c r="B1073" s="81" t="str">
        <f ca="1">[1]!simpleV_B($C$1071)</f>
        <v>the options position allows cash settlement whereas the futures position does not</v>
      </c>
      <c r="C1073" s="82"/>
      <c r="D1073" s="77"/>
    </row>
    <row r="1074" spans="1:4" x14ac:dyDescent="0.35">
      <c r="B1074" s="81" t="str">
        <f ca="1">[1]!simpleV_C($C$1071)</f>
        <v>the options position requires collateral whereas the futures position does not</v>
      </c>
      <c r="C1074" s="82"/>
      <c r="D1074" s="77"/>
    </row>
    <row r="1075" spans="1:4" x14ac:dyDescent="0.35">
      <c r="B1075" s="81" t="str">
        <f ca="1">[1]!simpleV_D($C$1071)</f>
        <v>the futures position is a right to take action whereas the options position is an obligation</v>
      </c>
      <c r="C1075" s="82"/>
      <c r="D1075" s="77"/>
    </row>
    <row r="1076" spans="1:4" ht="16" thickBot="1" x14ac:dyDescent="0.4">
      <c r="B1076" s="83" t="str">
        <f ca="1">[1]!simpleV_E($C$1071)</f>
        <v>the options position is free to enter whereas the futures position is costly</v>
      </c>
      <c r="C1076" s="84"/>
      <c r="D1076" s="78"/>
    </row>
    <row r="1077" spans="1:4" ht="16" thickTop="1" x14ac:dyDescent="0.35"/>
    <row r="1079" spans="1:4" ht="16" thickBot="1" x14ac:dyDescent="0.4">
      <c r="A1079" s="88" t="s">
        <v>98</v>
      </c>
    </row>
    <row r="1080" spans="1:4" ht="16.5" thickTop="1" thickBot="1" x14ac:dyDescent="0.4">
      <c r="B1080" s="76" t="str">
        <f ca="1">[1]!std_ans($C$1080)</f>
        <v>A</v>
      </c>
      <c r="C1080" s="79" t="str">
        <f ca="1" xml:space="preserve"> "/\" &amp;RANDBETWEEN( 1,120) &amp; "/\" &amp; "speculating and hedging" &amp; "/\" &amp; "speculating and short sales" &amp; "/\" &amp; "naked writing and short sales" &amp; "/\" &amp; "hedging and naked writing" &amp; "/\" &amp; "limit orders and market orders"</f>
        <v>/\9/\speculating and hedging/\speculating and short sales/\naked writing and short sales/\hedging and naked writing/\limit orders and market orders</v>
      </c>
      <c r="D1080" s="80" t="s">
        <v>99</v>
      </c>
    </row>
    <row r="1081" spans="1:4" ht="16" thickTop="1" x14ac:dyDescent="0.35">
      <c r="B1081" s="81" t="str">
        <f ca="1">[1]!simpleV_A($C$1080)</f>
        <v>speculating and hedging</v>
      </c>
      <c r="C1081" s="82"/>
      <c r="D1081" s="77"/>
    </row>
    <row r="1082" spans="1:4" x14ac:dyDescent="0.35">
      <c r="B1082" s="81" t="str">
        <f ca="1">[1]!simpleV_B($C$1080)</f>
        <v>naked writing and short sales</v>
      </c>
      <c r="C1082" s="82"/>
      <c r="D1082" s="77"/>
    </row>
    <row r="1083" spans="1:4" x14ac:dyDescent="0.35">
      <c r="B1083" s="81" t="str">
        <f ca="1">[1]!simpleV_C($C$1080)</f>
        <v>hedging and naked writing</v>
      </c>
      <c r="C1083" s="82"/>
      <c r="D1083" s="77"/>
    </row>
    <row r="1084" spans="1:4" x14ac:dyDescent="0.35">
      <c r="B1084" s="81" t="str">
        <f ca="1">[1]!simpleV_D($C$1080)</f>
        <v>speculating and short sales</v>
      </c>
      <c r="C1084" s="82"/>
      <c r="D1084" s="77"/>
    </row>
    <row r="1085" spans="1:4" ht="16" thickBot="1" x14ac:dyDescent="0.4">
      <c r="B1085" s="83" t="str">
        <f ca="1">[1]!simpleV_E($C$1080)</f>
        <v>limit orders and market orders</v>
      </c>
      <c r="C1085" s="84"/>
      <c r="D1085" s="78"/>
    </row>
    <row r="1086" spans="1:4" ht="16" thickTop="1" x14ac:dyDescent="0.35"/>
    <row r="1088" spans="1:4" x14ac:dyDescent="0.35">
      <c r="A1088" s="88" t="s">
        <v>100</v>
      </c>
    </row>
    <row r="1089" spans="1:5" x14ac:dyDescent="0.35">
      <c r="A1089" s="5" t="s">
        <v>372</v>
      </c>
      <c r="B1089" s="2" t="str">
        <f ca="1">IF((RANDBETWEEN(0,1))=0,"taking a long position on SP500 stocks and a short position on SP500 futures contracts in order to capitalize on fleeting price discrepancies ","taking a short position on SP500 stocks and a long position on SP500 futures contracts in order to capitalize on fleeting price discrepancies ")</f>
        <v xml:space="preserve">taking a short position on SP500 stocks and a long position on SP500 futures contracts in order to capitalize on fleeting price discrepancies </v>
      </c>
    </row>
    <row r="1090" spans="1:5" x14ac:dyDescent="0.35">
      <c r="A1090" s="5" t="s">
        <v>1683</v>
      </c>
      <c r="B1090" s="2" t="s">
        <v>3210</v>
      </c>
    </row>
    <row r="1091" spans="1:5" x14ac:dyDescent="0.35">
      <c r="A1091"/>
      <c r="B1091" s="2" t="s">
        <v>3211</v>
      </c>
    </row>
    <row r="1092" spans="1:5" x14ac:dyDescent="0.35">
      <c r="A1092"/>
      <c r="B1092" s="2" t="s">
        <v>2391</v>
      </c>
    </row>
    <row r="1093" spans="1:5" x14ac:dyDescent="0.35">
      <c r="A1093"/>
      <c r="B1093" s="2" t="s">
        <v>755</v>
      </c>
    </row>
    <row r="1094" spans="1:5" ht="16" thickBot="1" x14ac:dyDescent="0.4"/>
    <row r="1095" spans="1:5" ht="16.5" thickTop="1" thickBot="1" x14ac:dyDescent="0.4">
      <c r="B1095" s="76" t="str">
        <f ca="1">[1]!std_ans($C$1095)</f>
        <v>C</v>
      </c>
      <c r="C1095" s="79" t="str">
        <f ca="1" xml:space="preserve"> "/\" &amp;RANDBETWEEN( 1,120) &amp; "/\" &amp; B1089 &amp; "/\" &amp; B1090 &amp; "/\" &amp; B1091 &amp; "/\" &amp; B1092 &amp; "/\" &amp; B1093</f>
        <v>/\116/\taking a short position on SP500 stocks and a long position on SP500 futures contracts in order to capitalize on fleeting price discrepancies /\buying or selling key stocks in the SP500 index/\taking long or short positions on either SP500 options or futures contracts/\taking a long position on SP500 stocks and a long position on SP500 futures contracts in order to capitalize on fleeting price discrepancies/\taking a short position on SP500 stocks and a short position on SP500 futures contracts in order to capitalize on fleeting price discrepancies</v>
      </c>
      <c r="D1095" s="80" t="s">
        <v>101</v>
      </c>
      <c r="E1095" s="123"/>
    </row>
    <row r="1096" spans="1:5" ht="16" thickTop="1" x14ac:dyDescent="0.35">
      <c r="B1096" s="81" t="str">
        <f ca="1">[1]!simpleV_A($C$1095)</f>
        <v>taking a short position on SP500 stocks and a short position on SP500 futures contracts in order to capitalize on fleeting price discrepancies</v>
      </c>
      <c r="C1096" s="126"/>
      <c r="D1096" s="127"/>
      <c r="E1096" s="17"/>
    </row>
    <row r="1097" spans="1:5" x14ac:dyDescent="0.35">
      <c r="B1097" s="81" t="str">
        <f ca="1">[1]!simpleV_B($C$1095)</f>
        <v>taking a long position on SP500 stocks and a long position on SP500 futures contracts in order to capitalize on fleeting price discrepancies</v>
      </c>
      <c r="C1097" s="126"/>
      <c r="D1097" s="127"/>
      <c r="E1097" s="17"/>
    </row>
    <row r="1098" spans="1:5" x14ac:dyDescent="0.35">
      <c r="B1098" s="81" t="str">
        <f ca="1">[1]!simpleV_C($C$1095)</f>
        <v xml:space="preserve">taking a short position on SP500 stocks and a long position on SP500 futures contracts in order to capitalize on fleeting price discrepancies </v>
      </c>
      <c r="C1098" s="85"/>
      <c r="D1098" s="127"/>
      <c r="E1098" s="17"/>
    </row>
    <row r="1099" spans="1:5" x14ac:dyDescent="0.35">
      <c r="B1099" s="81" t="str">
        <f ca="1">[1]!simpleV_D($C$1095)</f>
        <v>taking long or short positions on either SP500 options or futures contracts</v>
      </c>
      <c r="C1099" s="85"/>
      <c r="D1099" s="127"/>
      <c r="E1099" s="17"/>
    </row>
    <row r="1100" spans="1:5" ht="16" thickBot="1" x14ac:dyDescent="0.4">
      <c r="B1100" s="83" t="str">
        <f ca="1">[1]!simpleV_E($C$1095)</f>
        <v>buying or selling key stocks in the SP500 index</v>
      </c>
      <c r="C1100" s="86"/>
      <c r="D1100" s="128"/>
      <c r="E1100" s="17"/>
    </row>
    <row r="1101" spans="1:5" ht="16" thickTop="1" x14ac:dyDescent="0.35"/>
    <row r="1103" spans="1:5" ht="16" thickBot="1" x14ac:dyDescent="0.4">
      <c r="A1103" s="88" t="s">
        <v>102</v>
      </c>
    </row>
    <row r="1104" spans="1:5" ht="16.5" thickTop="1" thickBot="1" x14ac:dyDescent="0.4">
      <c r="B1104" s="76" t="str">
        <f ca="1">[1]!std_ans($C$1104)</f>
        <v>E</v>
      </c>
      <c r="C1104" s="79" t="str">
        <f ca="1" xml:space="preserve"> "/\" &amp;RANDBETWEEN( 1,120) &amp; "/\" &amp; "simultaneous execution of buy or sell orders for more than a dozen securities, generally ordered by a computer program without human intervention" &amp; "/\" &amp; "simultaneous execution of buy or sell orders for more than a dozen securities, generally ordered by a NYSE market specialist" &amp; "/\" &amp; "simultaneous execution of buy or sell orders by the NYSE Superdot system" &amp; "/\" &amp; "one step in a lengthy program designed to exercise in-the-money put options" &amp; "/\" &amp; "one step in a lengthy program designed to exercise in-the-money call options"</f>
        <v>/\70/\simultaneous execution of buy or sell orders for more than a dozen securities, generally ordered by a computer program without human intervention/\simultaneous execution of buy or sell orders for more than a dozen securities, generally ordered by a NYSE market specialist/\simultaneous execution of buy or sell orders by the NYSE Superdot system/\one step in a lengthy program designed to exercise in-the-money put options/\one step in a lengthy program designed to exercise in-the-money call options</v>
      </c>
      <c r="D1104" s="80" t="s">
        <v>550</v>
      </c>
    </row>
    <row r="1105" spans="1:4" ht="16" thickTop="1" x14ac:dyDescent="0.35">
      <c r="B1105" s="81" t="str">
        <f ca="1">[1]!simpleV_A($C$1104)</f>
        <v>simultaneous execution of buy or sell orders by the NYSE Superdot system</v>
      </c>
      <c r="C1105" s="82"/>
      <c r="D1105" s="77"/>
    </row>
    <row r="1106" spans="1:4" x14ac:dyDescent="0.35">
      <c r="B1106" s="81" t="str">
        <f ca="1">[1]!simpleV_B($C$1104)</f>
        <v>one step in a lengthy program designed to exercise in-the-money call options</v>
      </c>
      <c r="C1106" s="82"/>
      <c r="D1106" s="77"/>
    </row>
    <row r="1107" spans="1:4" x14ac:dyDescent="0.35">
      <c r="B1107" s="81" t="str">
        <f ca="1">[1]!simpleV_C($C$1104)</f>
        <v>simultaneous execution of buy or sell orders for more than a dozen securities, generally ordered by a NYSE market specialist</v>
      </c>
      <c r="C1107" s="82"/>
      <c r="D1107" s="77"/>
    </row>
    <row r="1108" spans="1:4" x14ac:dyDescent="0.35">
      <c r="B1108" s="81" t="str">
        <f ca="1">[1]!simpleV_D($C$1104)</f>
        <v>one step in a lengthy program designed to exercise in-the-money put options</v>
      </c>
      <c r="C1108" s="82"/>
      <c r="D1108" s="77"/>
    </row>
    <row r="1109" spans="1:4" ht="16" thickBot="1" x14ac:dyDescent="0.4">
      <c r="B1109" s="83" t="str">
        <f ca="1">[1]!simpleV_E($C$1104)</f>
        <v>simultaneous execution of buy or sell orders for more than a dozen securities, generally ordered by a computer program without human intervention</v>
      </c>
      <c r="C1109" s="84"/>
      <c r="D1109" s="78"/>
    </row>
    <row r="1110" spans="1:4" ht="16" thickTop="1" x14ac:dyDescent="0.35"/>
    <row r="1112" spans="1:4" x14ac:dyDescent="0.35">
      <c r="A1112" s="88" t="s">
        <v>551</v>
      </c>
    </row>
    <row r="1113" spans="1:4" x14ac:dyDescent="0.35">
      <c r="A1113" s="5" t="s">
        <v>372</v>
      </c>
      <c r="B1113" s="2" t="str">
        <f ca="1">IF(RANDBETWEEN(0,1)=0,"It is a bullish signal because it means buying demand will be high","It is a bearish signal because it means many think the market is headed down")</f>
        <v>It is a bearish signal because it means many think the market is headed down</v>
      </c>
    </row>
    <row r="1114" spans="1:4" ht="15.75" customHeight="1" x14ac:dyDescent="0.35">
      <c r="A1114" s="5" t="s">
        <v>1683</v>
      </c>
      <c r="B1114" s="2" t="str">
        <f ca="1">IF(RANDBETWEEN(0,1)=1,"It is a bearish signal because it means buying demand will be high","It is a bullish signal because it means many think the market is headed down")</f>
        <v>It is a bullish signal because it means many think the market is headed down</v>
      </c>
    </row>
    <row r="1115" spans="1:4" x14ac:dyDescent="0.35">
      <c r="B1115" s="2" t="str">
        <f ca="1">IF(RANDBETWEEN(0,1)=0,"It is a bearish signal because it means the Fed probably will be raising rates","It is a bullish signal because it means the Fed probably will be raising rates ")</f>
        <v>It is a bearish signal because it means the Fed probably will be raising rates</v>
      </c>
    </row>
    <row r="1116" spans="1:4" x14ac:dyDescent="0.35">
      <c r="B1116" s="2" t="str">
        <f ca="1">IF(RANDBETWEEN(0,1)=0,"It is a bearish signal because it means the Fed probably will be lowering rates","It is a bullish signal because it means the Fed probably will be lowering rates ")</f>
        <v xml:space="preserve">It is a bullish signal because it means the Fed probably will be lowering rates </v>
      </c>
    </row>
    <row r="1117" spans="1:4" x14ac:dyDescent="0.35">
      <c r="B1117" s="2" t="str">
        <f ca="1">IF(RANDBETWEEN(0,1)=0,"It can be either a bearish or bullish signal but typically is followed by rising stock prices","It can be either a bearish or bullish signal but typically is followed by falling stock prices ")</f>
        <v>It can be either a bearish or bullish signal but typically is followed by rising stock prices</v>
      </c>
    </row>
    <row r="1118" spans="1:4" ht="16" thickBot="1" x14ac:dyDescent="0.4"/>
    <row r="1119" spans="1:4" ht="16.5" thickTop="1" thickBot="1" x14ac:dyDescent="0.4">
      <c r="B1119" s="76" t="str">
        <f ca="1">[1]!std_ans($C$1119)</f>
        <v>A</v>
      </c>
      <c r="C1119" s="79" t="str">
        <f ca="1" xml:space="preserve"> "/\" &amp;RANDBETWEEN( 1,120) &amp; "/\" &amp; B1113 &amp; "/\" &amp; B1114 &amp; "/\" &amp; B1115 &amp; "/\" &amp; B1116 &amp; "/\" &amp; B1117</f>
        <v>/\21/\It is a bearish signal because it means many think the market is headed down/\It is a bullish signal because it means many think the market is headed down/\It is a bearish signal because it means the Fed probably will be raising rates/\It is a bullish signal because it means the Fed probably will be lowering rates /\It can be either a bearish or bullish signal but typically is followed by rising stock prices</v>
      </c>
      <c r="D1119" s="80" t="s">
        <v>552</v>
      </c>
    </row>
    <row r="1120" spans="1:4" ht="16" thickTop="1" x14ac:dyDescent="0.35">
      <c r="B1120" s="81" t="str">
        <f ca="1">[1]!simpleV_A($C$1119)</f>
        <v>It is a bearish signal because it means many think the market is headed down</v>
      </c>
      <c r="C1120" s="82"/>
      <c r="D1120" s="77"/>
    </row>
    <row r="1121" spans="1:4" x14ac:dyDescent="0.35">
      <c r="B1121" s="81" t="str">
        <f ca="1">[1]!simpleV_B($C$1119)</f>
        <v>It can be either a bearish or bullish signal but typically is followed by rising stock prices</v>
      </c>
      <c r="C1121" s="82"/>
      <c r="D1121" s="77"/>
    </row>
    <row r="1122" spans="1:4" x14ac:dyDescent="0.35">
      <c r="B1122" s="81" t="str">
        <f ca="1">[1]!simpleV_C($C$1119)</f>
        <v>It is a bearish signal because it means the Fed probably will be raising rates</v>
      </c>
      <c r="C1122" s="82"/>
      <c r="D1122" s="77"/>
    </row>
    <row r="1123" spans="1:4" x14ac:dyDescent="0.35">
      <c r="B1123" s="81" t="str">
        <f ca="1">[1]!simpleV_D($C$1119)</f>
        <v>It is a bullish signal because it means many think the market is headed down</v>
      </c>
      <c r="C1123" s="82"/>
      <c r="D1123" s="77"/>
    </row>
    <row r="1124" spans="1:4" ht="16" thickBot="1" x14ac:dyDescent="0.4">
      <c r="B1124" s="83" t="str">
        <f ca="1">[1]!simpleV_E($C$1119)</f>
        <v xml:space="preserve">It is a bullish signal because it means the Fed probably will be lowering rates </v>
      </c>
      <c r="C1124" s="84"/>
      <c r="D1124" s="78"/>
    </row>
    <row r="1125" spans="1:4" ht="16" thickTop="1" x14ac:dyDescent="0.35"/>
    <row r="1127" spans="1:4" ht="16" thickBot="1" x14ac:dyDescent="0.4">
      <c r="A1127" s="88" t="s">
        <v>553</v>
      </c>
    </row>
    <row r="1128" spans="1:4" ht="16.5" thickTop="1" thickBot="1" x14ac:dyDescent="0.4">
      <c r="B1128" s="76" t="str">
        <f ca="1">[1]!std_ans($C$1128)</f>
        <v>D</v>
      </c>
      <c r="C1128" s="79" t="str">
        <f ca="1" xml:space="preserve"> "/\" &amp;RANDBETWEEN( 1,120) &amp; "/\" &amp; "selling a share at the current price with the obligation to buy it back later at the later price" &amp; "/\" &amp; "selling a share at the current price with the right to buy it back later at a higher price" &amp; "/\" &amp; "buying a share at the current price with the expectation to sell it later for a lower price" &amp; "/\" &amp; "selling a share at the current price with the right to buy it back later at a lower price" &amp; "/\" &amp; "buying a share at the current price with the expectation to sell it later for a higher price"</f>
        <v>/\117/\selling a share at the current price with the obligation to buy it back later at the later price/\selling a share at the current price with the right to buy it back later at a higher price/\buying a share at the current price with the expectation to sell it later for a lower price/\selling a share at the current price with the right to buy it back later at a lower price/\buying a share at the current price with the expectation to sell it later for a higher price</v>
      </c>
      <c r="D1128" s="80" t="s">
        <v>554</v>
      </c>
    </row>
    <row r="1129" spans="1:4" ht="16" thickTop="1" x14ac:dyDescent="0.35">
      <c r="B1129" s="81" t="str">
        <f ca="1">[1]!simpleV_A($C$1128)</f>
        <v>buying a share at the current price with the expectation to sell it later for a higher price</v>
      </c>
      <c r="C1129" s="82"/>
      <c r="D1129" s="77"/>
    </row>
    <row r="1130" spans="1:4" x14ac:dyDescent="0.35">
      <c r="B1130" s="81" t="str">
        <f ca="1">[1]!simpleV_B($C$1128)</f>
        <v>selling a share at the current price with the right to buy it back later at a lower price</v>
      </c>
      <c r="C1130" s="82"/>
      <c r="D1130" s="77"/>
    </row>
    <row r="1131" spans="1:4" x14ac:dyDescent="0.35">
      <c r="B1131" s="81" t="str">
        <f ca="1">[1]!simpleV_C($C$1128)</f>
        <v>selling a share at the current price with the right to buy it back later at a higher price</v>
      </c>
      <c r="C1131" s="82"/>
      <c r="D1131" s="77"/>
    </row>
    <row r="1132" spans="1:4" x14ac:dyDescent="0.35">
      <c r="B1132" s="81" t="str">
        <f ca="1">[1]!simpleV_D($C$1128)</f>
        <v>selling a share at the current price with the obligation to buy it back later at the later price</v>
      </c>
      <c r="C1132" s="82"/>
      <c r="D1132" s="77"/>
    </row>
    <row r="1133" spans="1:4" ht="16" thickBot="1" x14ac:dyDescent="0.4">
      <c r="B1133" s="83" t="str">
        <f ca="1">[1]!simpleV_E($C$1128)</f>
        <v>buying a share at the current price with the expectation to sell it later for a lower price</v>
      </c>
      <c r="C1133" s="84"/>
      <c r="D1133" s="78"/>
    </row>
    <row r="1134" spans="1:4" ht="16" thickTop="1" x14ac:dyDescent="0.35"/>
    <row r="1136" spans="1:4" ht="16" thickBot="1" x14ac:dyDescent="0.4">
      <c r="A1136" s="88" t="s">
        <v>368</v>
      </c>
    </row>
    <row r="1137" spans="1:7" ht="16.5" thickTop="1" thickBot="1" x14ac:dyDescent="0.4">
      <c r="B1137" s="76" t="str">
        <f ca="1">[1]!std_ans($C$1137)</f>
        <v>A</v>
      </c>
      <c r="C1137" s="79" t="str">
        <f ca="1" xml:space="preserve"> "/\" &amp;RANDBETWEEN( 1,120) &amp; "/\" &amp; "operating cash flow" &amp; "/\" &amp; "equity price-to-book ratio" &amp; "/\" &amp; "net working capital" &amp; "/\" &amp; "net profit margin" &amp; "/\" &amp; "asset turnover ratio"</f>
        <v>/\22/\operating cash flow/\equity price-to-book ratio/\net working capital/\net profit margin/\asset turnover ratio</v>
      </c>
      <c r="D1137" s="80" t="s">
        <v>369</v>
      </c>
    </row>
    <row r="1138" spans="1:7" ht="16" thickTop="1" x14ac:dyDescent="0.35">
      <c r="B1138" s="81" t="str">
        <f ca="1">[1]!simpleV_A($C$1137)</f>
        <v>operating cash flow</v>
      </c>
      <c r="C1138" s="82"/>
      <c r="D1138" s="77"/>
    </row>
    <row r="1139" spans="1:7" x14ac:dyDescent="0.35">
      <c r="B1139" s="81" t="str">
        <f ca="1">[1]!simpleV_B($C$1137)</f>
        <v>asset turnover ratio</v>
      </c>
      <c r="C1139" s="82"/>
      <c r="D1139" s="77"/>
    </row>
    <row r="1140" spans="1:7" x14ac:dyDescent="0.35">
      <c r="B1140" s="81" t="str">
        <f ca="1">[1]!simpleV_C($C$1137)</f>
        <v>net working capital</v>
      </c>
      <c r="C1140" s="82"/>
      <c r="D1140" s="77"/>
    </row>
    <row r="1141" spans="1:7" x14ac:dyDescent="0.35">
      <c r="B1141" s="81" t="str">
        <f ca="1">[1]!simpleV_D($C$1137)</f>
        <v>net profit margin</v>
      </c>
      <c r="C1141" s="82"/>
      <c r="D1141" s="77"/>
    </row>
    <row r="1142" spans="1:7" ht="16" thickBot="1" x14ac:dyDescent="0.4">
      <c r="B1142" s="83" t="str">
        <f ca="1">[1]!simpleV_E($C$1137)</f>
        <v>equity price-to-book ratio</v>
      </c>
      <c r="C1142" s="84"/>
      <c r="D1142" s="78"/>
    </row>
    <row r="1143" spans="1:7" ht="16" thickTop="1" x14ac:dyDescent="0.35"/>
    <row r="1145" spans="1:7" x14ac:dyDescent="0.35">
      <c r="A1145" s="88" t="s">
        <v>625</v>
      </c>
    </row>
    <row r="1146" spans="1:7" x14ac:dyDescent="0.35">
      <c r="A1146" s="11"/>
    </row>
    <row r="1147" spans="1:7" ht="16" thickBot="1" x14ac:dyDescent="0.4">
      <c r="A1147" s="11"/>
      <c r="B1147" s="36"/>
    </row>
    <row r="1148" spans="1:7" ht="16.5" thickTop="1" thickBot="1" x14ac:dyDescent="0.4">
      <c r="B1148" s="73" t="str">
        <f ca="1">[1]!alpha_ans($C$1148)</f>
        <v>A</v>
      </c>
      <c r="C1148" s="79" t="str">
        <f ca="1" xml:space="preserve"> "/\" &amp;RANDBETWEEN( 1,5) &amp; "/\" &amp;RANDBETWEEN( 1,3) &amp; "/\" &amp;RANDBETWEEN( 1,2) &amp; "/\" &amp;G1148 &amp; "/\" &amp; G1149 &amp; "/\" &amp; G1150 &amp; "/\" &amp; G1151 &amp; "/\" &amp; G1152 &amp; "/\" &amp; G1153</f>
        <v>/\1/\3/\2/\When the interest rate doubles then the total interest more than doubles./\When the interest rate doubles then the total interest less than doubles./\When the term doubles then the total interest more than doubles./\When the term doubles then the total interest exactly doubles./\When the beginning wealth doubles then the total interest exactly doubles./\When the beginning wealth doubles then the total interest more than doubles.</v>
      </c>
      <c r="D1148" s="80" t="s">
        <v>626</v>
      </c>
      <c r="F1148" s="6" t="s">
        <v>3703</v>
      </c>
      <c r="G1148" s="2" t="s">
        <v>3705</v>
      </c>
    </row>
    <row r="1149" spans="1:7" ht="16" thickTop="1" x14ac:dyDescent="0.35">
      <c r="B1149" s="81" t="str">
        <f ca="1">[1]!complexV_A($C$1148)</f>
        <v>When the interest rate doubles then the total interest more than doubles.</v>
      </c>
      <c r="C1149" s="82"/>
      <c r="D1149" s="77"/>
      <c r="F1149" s="6" t="s">
        <v>3704</v>
      </c>
      <c r="G1149" s="2" t="str">
        <f ca="1">CHOOSE(RANDBETWEEN(1,2),"When the interest rate doubles then the total interest less than doubles.","When the interest rate doubles then the total interest exactly doubles.")</f>
        <v>When the interest rate doubles then the total interest less than doubles.</v>
      </c>
    </row>
    <row r="1150" spans="1:7" x14ac:dyDescent="0.35">
      <c r="B1150" s="81" t="str">
        <f ca="1">[1]!complexV_B($C$1148)</f>
        <v>When the term doubles then the total interest exactly doubles.</v>
      </c>
      <c r="C1150" s="82"/>
      <c r="D1150" s="77"/>
      <c r="F1150" s="6" t="s">
        <v>3706</v>
      </c>
      <c r="G1150" s="2" t="s">
        <v>3710</v>
      </c>
    </row>
    <row r="1151" spans="1:7" x14ac:dyDescent="0.35">
      <c r="B1151" s="81" t="str">
        <f ca="1">[1]!complexV_C($C$1148)</f>
        <v>When the beginning wealth doubles then the total interest more than doubles.</v>
      </c>
      <c r="C1151" s="82"/>
      <c r="D1151" s="77"/>
      <c r="F1151" s="6" t="s">
        <v>3707</v>
      </c>
      <c r="G1151" s="2" t="str">
        <f ca="1">CHOOSE(RANDBETWEEN(1,2),"When the term doubles then the total interest less than doubles.","When the term doubles then the total interest exactly doubles.")</f>
        <v>When the term doubles then the total interest exactly doubles.</v>
      </c>
    </row>
    <row r="1152" spans="1:7" x14ac:dyDescent="0.35">
      <c r="B1152" s="81" t="str">
        <f ca="1">[1]!complexV_D($C$1148)</f>
        <v>Two choices, B and C, are correct</v>
      </c>
      <c r="C1152" s="82"/>
      <c r="D1152" s="77"/>
      <c r="F1152" s="6" t="s">
        <v>3708</v>
      </c>
      <c r="G1152" s="2" t="s">
        <v>3711</v>
      </c>
    </row>
    <row r="1153" spans="1:7" ht="16" thickBot="1" x14ac:dyDescent="0.4">
      <c r="B1153" s="83" t="str">
        <f ca="1">[1]!complexV_E($C$1148)</f>
        <v>None of the A-B-C choices are correct</v>
      </c>
      <c r="C1153" s="84"/>
      <c r="D1153" s="78"/>
      <c r="F1153" s="6" t="s">
        <v>3709</v>
      </c>
      <c r="G1153" s="2" t="str">
        <f ca="1">CHOOSE(RANDBETWEEN(1,2),"When the beginning wealth doubles then the total interest more than doubles.","When the beginning wealth doubles then the total interest less than doubles.")</f>
        <v>When the beginning wealth doubles then the total interest more than doubles.</v>
      </c>
    </row>
    <row r="1154" spans="1:7" ht="16" thickTop="1" x14ac:dyDescent="0.35"/>
    <row r="1156" spans="1:7" x14ac:dyDescent="0.35">
      <c r="A1156" s="88" t="s">
        <v>627</v>
      </c>
    </row>
    <row r="1157" spans="1:7" x14ac:dyDescent="0.35">
      <c r="A1157" s="11"/>
    </row>
    <row r="1158" spans="1:7" ht="16" thickBot="1" x14ac:dyDescent="0.4"/>
    <row r="1159" spans="1:7" ht="16.5" thickTop="1" thickBot="1" x14ac:dyDescent="0.4">
      <c r="B1159" s="76" t="str">
        <f ca="1">[1]!std_ans($C$1159)</f>
        <v>C</v>
      </c>
      <c r="C1159" s="79" t="str">
        <f ca="1" xml:space="preserve"> "/\" &amp;RANDBETWEEN( 1,120) &amp; "/\" &amp; G1160 &amp; "/\" &amp; G1161 &amp; "/\" &amp; G1162 &amp; "/\" &amp; G1163 &amp; "/\" &amp; G1164</f>
        <v>/\32/\If the loan term halves then the loan payment goes up by less than 100%./\If the initial loan principal doubles then the loan payment increases by less than 100%./\If the initial loan principal doubles then the loan payment increases by more than 100%./\If the interest rate doubles then the loan payment doubles./\If the loan term halves then the loan payment halves.</v>
      </c>
      <c r="D1159" s="80" t="s">
        <v>628</v>
      </c>
    </row>
    <row r="1160" spans="1:7" ht="16" thickTop="1" x14ac:dyDescent="0.35">
      <c r="B1160" s="81" t="str">
        <f ca="1">[1]!simpleV_A($C$1159)</f>
        <v>If the initial loan principal doubles then the loan payment increases by less than 100%.</v>
      </c>
      <c r="C1160" s="82"/>
      <c r="D1160" s="77"/>
      <c r="F1160" s="6" t="s">
        <v>1505</v>
      </c>
      <c r="G1160" s="2" t="str">
        <f ca="1">CHOOSE(RANDBETWEEN(1,3),"If the interest rate doubles then the loan payment increases by less than 100%.","If the initial loan principal doubles then the loan payment doubles.","If the loan term halves then the loan payment goes up by less than 100%.")</f>
        <v>If the loan term halves then the loan payment goes up by less than 100%.</v>
      </c>
    </row>
    <row r="1161" spans="1:7" x14ac:dyDescent="0.35">
      <c r="B1161" s="81" t="str">
        <f ca="1">[1]!simpleV_B($C$1159)</f>
        <v>If the initial loan principal doubles then the loan payment increases by more than 100%.</v>
      </c>
      <c r="C1161" s="82"/>
      <c r="D1161" s="77"/>
      <c r="F1161" s="6" t="s">
        <v>1506</v>
      </c>
      <c r="G1161" s="2" t="str">
        <f ca="1">CHOOSE(RANDBETWEEN(1,3),"If the initial loan principal doubles then the loan payment increases by less than 100%.","If the interest rate doubles then the loan payment increases by more than 100%.","If the loan term halves then the loan payment doubles.")</f>
        <v>If the initial loan principal doubles then the loan payment increases by less than 100%.</v>
      </c>
    </row>
    <row r="1162" spans="1:7" x14ac:dyDescent="0.35">
      <c r="B1162" s="81" t="str">
        <f ca="1">[1]!simpleV_C($C$1159)</f>
        <v>If the loan term halves then the loan payment goes up by less than 100%.</v>
      </c>
      <c r="C1162" s="82"/>
      <c r="D1162" s="77"/>
      <c r="F1162" s="6"/>
      <c r="G1162" s="2" t="s">
        <v>1507</v>
      </c>
    </row>
    <row r="1163" spans="1:7" x14ac:dyDescent="0.35">
      <c r="B1163" s="81" t="str">
        <f ca="1">[1]!simpleV_D($C$1159)</f>
        <v>If the loan term halves then the loan payment halves.</v>
      </c>
      <c r="C1163" s="82"/>
      <c r="D1163" s="77"/>
      <c r="F1163" s="6"/>
      <c r="G1163" s="2" t="s">
        <v>240</v>
      </c>
    </row>
    <row r="1164" spans="1:7" ht="16" thickBot="1" x14ac:dyDescent="0.4">
      <c r="B1164" s="83" t="str">
        <f ca="1">[1]!simpleV_E($C$1159)</f>
        <v>If the interest rate doubles then the loan payment doubles.</v>
      </c>
      <c r="C1164" s="84"/>
      <c r="D1164" s="78"/>
      <c r="F1164" s="6"/>
      <c r="G1164" s="2" t="s">
        <v>241</v>
      </c>
    </row>
    <row r="1165" spans="1:7" ht="16" thickTop="1" x14ac:dyDescent="0.35"/>
    <row r="1167" spans="1:7" x14ac:dyDescent="0.35">
      <c r="A1167" s="88" t="s">
        <v>629</v>
      </c>
    </row>
    <row r="1168" spans="1:7" x14ac:dyDescent="0.35">
      <c r="A1168" s="4">
        <f ca="1">RANDBETWEEN(22,28)/100</f>
        <v>0.25</v>
      </c>
      <c r="B1168" s="2" t="s">
        <v>3451</v>
      </c>
      <c r="E1168" s="2">
        <f ca="1">(RANDBETWEEN(0,1))</f>
        <v>0</v>
      </c>
    </row>
    <row r="1169" spans="1:8" x14ac:dyDescent="0.35">
      <c r="A1169" s="4">
        <f ca="1">RANDBETWEEN(5,10)*50</f>
        <v>450</v>
      </c>
      <c r="B1169" s="2" t="s">
        <v>3452</v>
      </c>
    </row>
    <row r="1170" spans="1:8" x14ac:dyDescent="0.35">
      <c r="A1170" s="4" t="str">
        <f ca="1">IF(E1168=0,"increases","decreases")</f>
        <v>increases</v>
      </c>
      <c r="B1170" s="2" t="str">
        <f ca="1">IF(E1168=1,"increases","decreases")</f>
        <v>decreases</v>
      </c>
      <c r="D1170" s="2" t="str">
        <f ca="1">IF(E1168=0,"increase","decrease")</f>
        <v>increase</v>
      </c>
    </row>
    <row r="1171" spans="1:8" x14ac:dyDescent="0.35">
      <c r="A1171" s="26">
        <f ca="1">A1169*A1168/30</f>
        <v>3.75</v>
      </c>
      <c r="B1171" s="2" t="s">
        <v>2111</v>
      </c>
    </row>
    <row r="1172" spans="1:8" ht="16" thickBot="1" x14ac:dyDescent="0.4"/>
    <row r="1173" spans="1:8" ht="16.5" thickTop="1" thickBot="1" x14ac:dyDescent="0.4">
      <c r="B1173" s="76" t="str">
        <f ca="1">[1]!alpha_ans($C$1173)</f>
        <v>B</v>
      </c>
      <c r="C1173" s="79" t="str">
        <f ca="1" xml:space="preserve"> "/\" &amp;RANDBETWEEN( 1,5) &amp; "/\" &amp;RANDBETWEEN( 1,120) &amp; "/\" &amp;RANDBETWEEN( 1,6) &amp; "/\" &amp;RANDBETWEEN( 1,2) &amp; "/\" &amp; A1171 &amp; "/\" &amp; "Mask" &amp; "/\" &amp; "Mask" &amp; "/\" &amp; A1170 &amp; "/\" &amp; B1170</f>
        <v>/\2/\43/\4/\1/\3.75/\Mask/\Mask/\increases/\decreases</v>
      </c>
      <c r="D1173" s="80" t="s">
        <v>630</v>
      </c>
      <c r="F1173" s="133"/>
      <c r="G1173" s="123"/>
      <c r="H1173" s="123"/>
    </row>
    <row r="1174" spans="1:8" ht="16" thickTop="1" x14ac:dyDescent="0.35">
      <c r="B1174" s="129">
        <f ca="1">[1]!onepair_A($C$1173)</f>
        <v>4.3125</v>
      </c>
      <c r="C1174" s="82" t="str">
        <f ca="1">[1]!onepair_A2($C$1173)</f>
        <v>increases</v>
      </c>
      <c r="D1174" s="77"/>
      <c r="F1174" s="124"/>
      <c r="G1174" s="82"/>
      <c r="H1174" s="17"/>
    </row>
    <row r="1175" spans="1:8" x14ac:dyDescent="0.35">
      <c r="B1175" s="129">
        <f ca="1">[1]!onepair_B($C$1173)</f>
        <v>3.75</v>
      </c>
      <c r="C1175" s="82" t="str">
        <f ca="1">[1]!onepair_B2($C$1173)</f>
        <v>increases</v>
      </c>
      <c r="D1175" s="77"/>
      <c r="F1175" s="124"/>
      <c r="G1175" s="82"/>
      <c r="H1175" s="17"/>
    </row>
    <row r="1176" spans="1:8" x14ac:dyDescent="0.35">
      <c r="B1176" s="129">
        <f ca="1">[1]!onepair_C($C$1173)</f>
        <v>3.75</v>
      </c>
      <c r="C1176" s="82" t="str">
        <f ca="1">[1]!onepair_C2($C$1173)</f>
        <v>decreases</v>
      </c>
      <c r="D1176" s="77"/>
      <c r="F1176" s="124"/>
      <c r="G1176" s="82"/>
      <c r="H1176" s="17"/>
    </row>
    <row r="1177" spans="1:8" x14ac:dyDescent="0.35">
      <c r="B1177" s="129">
        <f ca="1">[1]!onepair_D($C$1173)</f>
        <v>4.3125</v>
      </c>
      <c r="C1177" s="82" t="str">
        <f ca="1">[1]!onepair_D2($C$1173)</f>
        <v>decreases</v>
      </c>
      <c r="D1177" s="77"/>
      <c r="F1177" s="124"/>
      <c r="G1177" s="82"/>
      <c r="H1177" s="17"/>
    </row>
    <row r="1178" spans="1:8" ht="16" thickBot="1" x14ac:dyDescent="0.4">
      <c r="B1178" s="130">
        <f ca="1">[1]!onepair_E($C$1173)</f>
        <v>3.2608695652173898</v>
      </c>
      <c r="C1178" s="84" t="str">
        <f ca="1">[1]!onepair_E2($C$1173)</f>
        <v>increases</v>
      </c>
      <c r="D1178" s="78"/>
      <c r="F1178" s="124"/>
      <c r="G1178" s="82"/>
      <c r="H1178" s="17"/>
    </row>
    <row r="1179" spans="1:8" ht="16" thickTop="1" x14ac:dyDescent="0.35"/>
    <row r="1181" spans="1:8" x14ac:dyDescent="0.35">
      <c r="A1181" s="88" t="s">
        <v>1990</v>
      </c>
      <c r="B1181" s="133"/>
      <c r="C1181" s="123"/>
      <c r="D1181" s="123"/>
    </row>
    <row r="1182" spans="1:8" x14ac:dyDescent="0.35">
      <c r="A1182" s="5" t="s">
        <v>372</v>
      </c>
      <c r="B1182" s="2" t="str">
        <f ca="1">IF(A1187=0,"a conservative stock is one whose beta is less than one","an aggressive stock is one whose beta is larger than one")</f>
        <v>a conservative stock is one whose beta is less than one</v>
      </c>
      <c r="C1182" s="82"/>
      <c r="D1182" s="17"/>
    </row>
    <row r="1183" spans="1:8" x14ac:dyDescent="0.35">
      <c r="A1183" s="5" t="s">
        <v>1683</v>
      </c>
      <c r="B1183" s="2" t="str">
        <f ca="1">IF(A1187=1,"a conservative stock is one whose beta is greater than one","an aggressive stock is one whose beta is smaller than one")</f>
        <v>an aggressive stock is one whose beta is smaller than one</v>
      </c>
      <c r="C1183" s="82"/>
      <c r="D1183" s="17"/>
    </row>
    <row r="1184" spans="1:8" x14ac:dyDescent="0.35">
      <c r="B1184" s="2" t="s">
        <v>1957</v>
      </c>
      <c r="C1184" s="82"/>
      <c r="D1184" s="17"/>
    </row>
    <row r="1185" spans="1:7" x14ac:dyDescent="0.35">
      <c r="B1185" s="2" t="s">
        <v>666</v>
      </c>
      <c r="C1185" s="82"/>
      <c r="D1185" s="17"/>
    </row>
    <row r="1186" spans="1:7" x14ac:dyDescent="0.35">
      <c r="B1186" s="2" t="str">
        <f ca="1">IF(flag2=0,"a conservative stock is one whose systematic risk exceeds 12%","a conservative stock is one whose systematic risk is less than 12%")</f>
        <v>a conservative stock is one whose systematic risk is less than 12%</v>
      </c>
      <c r="C1186" s="82"/>
      <c r="D1186" s="17"/>
    </row>
    <row r="1187" spans="1:7" ht="16" thickBot="1" x14ac:dyDescent="0.4">
      <c r="A1187" s="2">
        <f ca="1">(RANDBETWEEN(0,1))</f>
        <v>0</v>
      </c>
    </row>
    <row r="1188" spans="1:7" ht="16.5" thickTop="1" thickBot="1" x14ac:dyDescent="0.4">
      <c r="B1188" s="76" t="str">
        <f ca="1">[1]!std_ans($C$1188)</f>
        <v>E</v>
      </c>
      <c r="C1188" s="79" t="str">
        <f ca="1" xml:space="preserve"> "/\" &amp;RANDBETWEEN( 1,120) &amp; "/\" &amp; B1182 &amp; "/\" &amp; B1183 &amp; "/\" &amp; B1184 &amp; "/\" &amp; B1185 &amp; "/\" &amp; B1186</f>
        <v>/\94/\a conservative stock is one whose beta is less than one/\an aggressive stock is one whose beta is smaller than one/\an aggressive stock is one whose systematic risk exceeds its unsystematic risk/\a conservative stock is one whose systematic risk exceeds its unsystematic risk/\a conservative stock is one whose systematic risk is less than 12%</v>
      </c>
      <c r="D1188" s="80" t="s">
        <v>1991</v>
      </c>
    </row>
    <row r="1189" spans="1:7" ht="16" thickTop="1" x14ac:dyDescent="0.35">
      <c r="B1189" s="81" t="str">
        <f ca="1">[1]!simpleV_A($C$1188)</f>
        <v>a conservative stock is one whose systematic risk exceeds its unsystematic risk</v>
      </c>
      <c r="C1189" s="82"/>
      <c r="D1189" s="77"/>
    </row>
    <row r="1190" spans="1:7" x14ac:dyDescent="0.35">
      <c r="B1190" s="81" t="str">
        <f ca="1">[1]!simpleV_B($C$1188)</f>
        <v>a conservative stock is one whose systematic risk is less than 12%</v>
      </c>
      <c r="C1190" s="82"/>
      <c r="D1190" s="77"/>
    </row>
    <row r="1191" spans="1:7" x14ac:dyDescent="0.35">
      <c r="B1191" s="81" t="str">
        <f ca="1">[1]!simpleV_C($C$1188)</f>
        <v>an aggressive stock is one whose beta is smaller than one</v>
      </c>
      <c r="C1191" s="82"/>
      <c r="D1191" s="77"/>
    </row>
    <row r="1192" spans="1:7" x14ac:dyDescent="0.35">
      <c r="B1192" s="81" t="str">
        <f ca="1">[1]!simpleV_D($C$1188)</f>
        <v>an aggressive stock is one whose systematic risk exceeds its unsystematic risk</v>
      </c>
      <c r="C1192" s="82"/>
      <c r="D1192" s="77"/>
    </row>
    <row r="1193" spans="1:7" ht="16" thickBot="1" x14ac:dyDescent="0.4">
      <c r="B1193" s="83" t="str">
        <f ca="1">[1]!simpleV_E($C$1188)</f>
        <v>a conservative stock is one whose beta is less than one</v>
      </c>
      <c r="C1193" s="84"/>
      <c r="D1193" s="78"/>
    </row>
    <row r="1194" spans="1:7" ht="16" thickTop="1" x14ac:dyDescent="0.35"/>
    <row r="1196" spans="1:7" x14ac:dyDescent="0.35">
      <c r="A1196" s="88" t="s">
        <v>1992</v>
      </c>
    </row>
    <row r="1197" spans="1:7" x14ac:dyDescent="0.35">
      <c r="F1197" s="11" t="s">
        <v>232</v>
      </c>
      <c r="G1197" s="17" t="str">
        <f ca="1">IF(A1198&gt;A1199," stock A has the highest required risk premium because its beta is largest "," stock B has the highest required risk premium because its beta is largest" )</f>
        <v xml:space="preserve"> stock B has the highest required risk premium because its beta is largest</v>
      </c>
    </row>
    <row r="1198" spans="1:7" x14ac:dyDescent="0.35">
      <c r="A1198" s="114">
        <f ca="1">RANDBETWEEN(80,150)/100</f>
        <v>1.1100000000000001</v>
      </c>
      <c r="B1198" s="2" t="s">
        <v>3048</v>
      </c>
      <c r="F1198" s="11" t="s">
        <v>2516</v>
      </c>
      <c r="G1198" s="17" t="str">
        <f ca="1">IF(A1200&gt;A1201," stock A has the highest required risk premium because its standard deviation is largest "," stock B has the highest required risk premium because its standard deviation is largest" )</f>
        <v xml:space="preserve"> stock B has the highest required risk premium because its standard deviation is largest</v>
      </c>
    </row>
    <row r="1199" spans="1:7" x14ac:dyDescent="0.35">
      <c r="A1199" s="114">
        <f ca="1">IF(D1199=A1198,(1+RANDBETWEEN(16,25)/100)^(IF(RANDBETWEEN(0,1)=0,1,-1))*A1198,D1199)</f>
        <v>1.33</v>
      </c>
      <c r="B1199" s="2" t="s">
        <v>3655</v>
      </c>
      <c r="D1199" s="2">
        <f ca="1">RANDBETWEEN(80,150)/100</f>
        <v>1.33</v>
      </c>
      <c r="G1199" s="17" t="str">
        <f ca="1">IF(A1200&gt;A1201," stock A has the highest required risk premium because its total risk is largest "," stock B has the highest required risk premium because its total risk is largest" )</f>
        <v xml:space="preserve"> stock B has the highest required risk premium because its total risk is largest</v>
      </c>
    </row>
    <row r="1200" spans="1:7" x14ac:dyDescent="0.35">
      <c r="A1200" s="114">
        <f ca="1">RANDBETWEEN(10,30)/100</f>
        <v>0.16</v>
      </c>
      <c r="B1200" s="2" t="s">
        <v>3656</v>
      </c>
      <c r="F1200" s="2">
        <f>1</f>
        <v>1</v>
      </c>
      <c r="G1200" s="17" t="str">
        <f>IF(F1200=0," stock A has the highest required risk premium because it has the most idiosyncratic risk"," stock A has the highest required risk premium becauseit has the least idiosyncratic risk" )</f>
        <v xml:space="preserve"> stock A has the highest required risk premium becauseit has the least idiosyncratic risk</v>
      </c>
    </row>
    <row r="1201" spans="1:7" x14ac:dyDescent="0.35">
      <c r="A1201" s="114">
        <f ca="1">IF(D1201=A1200,(1+RANDBETWEEN(8,13)/100)^(IF(RANDBETWEEN(0,1)=0,1,-1))*A1200,D1201)</f>
        <v>0.2</v>
      </c>
      <c r="B1201" s="2" t="s">
        <v>3657</v>
      </c>
      <c r="D1201" s="114">
        <f ca="1">RANDBETWEEN(10,30)/100</f>
        <v>0.2</v>
      </c>
      <c r="G1201" s="17" t="str">
        <f>IF(F1200=1," stock B has the highest required risk premium because it has the most idiosyncratic risk"," stock B has the highest required risk premium because it has the least idiosyncratic risk" )</f>
        <v xml:space="preserve"> stock B has the highest required risk premium because it has the most idiosyncratic risk</v>
      </c>
    </row>
    <row r="1202" spans="1:7" ht="16" thickBot="1" x14ac:dyDescent="0.4"/>
    <row r="1203" spans="1:7" ht="16.5" thickTop="1" thickBot="1" x14ac:dyDescent="0.4">
      <c r="B1203" s="76" t="str">
        <f ca="1">[1]!std_ans($C$1203)</f>
        <v>E</v>
      </c>
      <c r="C1203" s="79" t="str">
        <f ca="1" xml:space="preserve"> "/\" &amp;RANDBETWEEN( 1,120) &amp; "/\" &amp; G1197 &amp; "/\" &amp; G1198 &amp; "/\" &amp; G1199 &amp; "/\" &amp; G1200 &amp; "/\" &amp; G1201</f>
        <v>/\40/\ stock B has the highest required risk premium because its beta is largest/\ stock B has the highest required risk premium because its standard deviation is largest/\ stock B has the highest required risk premium because its total risk is largest/\ stock A has the highest required risk premium becauseit has the least idiosyncratic risk/\ stock B has the highest required risk premium because it has the most idiosyncratic risk</v>
      </c>
      <c r="D1203" s="80" t="s">
        <v>1993</v>
      </c>
    </row>
    <row r="1204" spans="1:7" ht="16" thickTop="1" x14ac:dyDescent="0.35">
      <c r="B1204" s="81" t="str">
        <f ca="1">[1]!simpleV_A($C$1203)</f>
        <v xml:space="preserve"> stock B has the highest required risk premium because its standard deviation is largest</v>
      </c>
      <c r="C1204" s="82"/>
      <c r="D1204" s="77"/>
    </row>
    <row r="1205" spans="1:7" x14ac:dyDescent="0.35">
      <c r="B1205" s="81" t="str">
        <f ca="1">[1]!simpleV_B($C$1203)</f>
        <v xml:space="preserve"> stock A has the highest required risk premium becauseit has the least idiosyncratic risk</v>
      </c>
      <c r="C1205" s="82"/>
      <c r="D1205" s="77"/>
    </row>
    <row r="1206" spans="1:7" x14ac:dyDescent="0.35">
      <c r="B1206" s="81" t="str">
        <f ca="1">[1]!simpleV_C($C$1203)</f>
        <v xml:space="preserve"> stock B has the highest required risk premium because its total risk is largest</v>
      </c>
      <c r="C1206" s="82"/>
      <c r="D1206" s="77"/>
    </row>
    <row r="1207" spans="1:7" x14ac:dyDescent="0.35">
      <c r="B1207" s="81" t="str">
        <f ca="1">[1]!simpleV_D($C$1203)</f>
        <v xml:space="preserve"> stock B has the highest required risk premium because it has the most idiosyncratic risk</v>
      </c>
      <c r="C1207" s="82"/>
      <c r="D1207" s="77"/>
    </row>
    <row r="1208" spans="1:7" ht="16" thickBot="1" x14ac:dyDescent="0.4">
      <c r="B1208" s="83" t="str">
        <f ca="1">[1]!simpleV_E($C$1203)</f>
        <v xml:space="preserve"> stock B has the highest required risk premium because its beta is largest</v>
      </c>
      <c r="C1208" s="84"/>
      <c r="D1208" s="78"/>
    </row>
    <row r="1209" spans="1:7" ht="16" thickTop="1" x14ac:dyDescent="0.35"/>
    <row r="1211" spans="1:7" x14ac:dyDescent="0.35">
      <c r="A1211" s="88" t="s">
        <v>242</v>
      </c>
    </row>
    <row r="1222" spans="1:6" x14ac:dyDescent="0.35">
      <c r="A1222" s="88" t="s">
        <v>333</v>
      </c>
    </row>
    <row r="1223" spans="1:6" x14ac:dyDescent="0.35">
      <c r="A1223" s="6" t="s">
        <v>2924</v>
      </c>
      <c r="B1223" s="2" t="str">
        <f ca="1">CHOOSE(RANDBETWEEN(1,2),"the primary market includes stocks and bonds issued by the company to investors","the secondary market includes stocks and bonds sold by one investor to another investor")</f>
        <v>the secondary market includes stocks and bonds sold by one investor to another investor</v>
      </c>
      <c r="F1223" s="36"/>
    </row>
    <row r="1224" spans="1:6" x14ac:dyDescent="0.35">
      <c r="A1224" s="6" t="s">
        <v>2925</v>
      </c>
      <c r="B1224" s="2" t="str">
        <f ca="1">CHOOSE(RANDBETWEEN(1,2),"the secondary market includes stocks and bonds issued by the company to investors","the primary market includes stocks and bonds sold by one investor to another investor")</f>
        <v>the primary market includes stocks and bonds sold by one investor to another investor</v>
      </c>
      <c r="F1224" s="36"/>
    </row>
    <row r="1225" spans="1:6" x14ac:dyDescent="0.35">
      <c r="A1225" s="6" t="s">
        <v>2926</v>
      </c>
      <c r="B1225" s="2" t="str">
        <f ca="1">CHOOSE(RANDBETWEEN(1,2),"the money market includes financial securities repayable within one year","the capital market includes financial securities repayable in more than one year")</f>
        <v>the money market includes financial securities repayable within one year</v>
      </c>
      <c r="F1225" s="36"/>
    </row>
    <row r="1226" spans="1:6" x14ac:dyDescent="0.35">
      <c r="A1226" s="6" t="s">
        <v>2927</v>
      </c>
      <c r="B1226" s="2" t="str">
        <f ca="1">CHOOSE(RANDBETWEEN(1,2),"the capital market includes financial securities repayable within one year","the money market includes financial securities repayable in more than one year")</f>
        <v>the money market includes financial securities repayable in more than one year</v>
      </c>
      <c r="F1226" s="36"/>
    </row>
    <row r="1227" spans="1:6" x14ac:dyDescent="0.35">
      <c r="A1227" s="6" t="s">
        <v>2928</v>
      </c>
      <c r="B1227" s="2" t="str">
        <f ca="1">CHOOSE(RANDBETWEEN(1,2),"the credit market includes trade credit, notes, and bonds that stipulate specific payments and/or interest","the equity market includes stocks that do not specify repayment schedules but instead represent a claim on residual cash flows")</f>
        <v>the credit market includes trade credit, notes, and bonds that stipulate specific payments and/or interest</v>
      </c>
      <c r="F1227" s="36"/>
    </row>
    <row r="1228" spans="1:6" x14ac:dyDescent="0.35">
      <c r="A1228" s="6" t="s">
        <v>3467</v>
      </c>
      <c r="B1228" s="2" t="str">
        <f ca="1">CHOOSE(RANDBETWEEN(1,2),"the equity market includes trade credit, notes, and bonds that stipulate specific payments and/or interest","the credit market includes stocks that do not specify repayment schedules but instead represent a claim on residual cash flows")</f>
        <v>the equity market includes trade credit, notes, and bonds that stipulate specific payments and/or interest</v>
      </c>
      <c r="F1228" s="36"/>
    </row>
    <row r="1229" spans="1:6" x14ac:dyDescent="0.35">
      <c r="A1229" s="6" t="s">
        <v>3248</v>
      </c>
      <c r="B1229" s="2" t="str">
        <f ca="1">CHOOSE(RANDBETWEEN(1,2),"the distinguishing criterion when categorizing markets as either primary or secondary is whether the security is new or used (seasoned)","the length of the financial contract is the distinguishing criterion when categorizing markets as either money market or capital market")</f>
        <v>the length of the financial contract is the distinguishing criterion when categorizing markets as either money market or capital market</v>
      </c>
      <c r="F1229" s="36"/>
    </row>
    <row r="1230" spans="1:6" x14ac:dyDescent="0.35">
      <c r="A1230" s="6" t="s">
        <v>3249</v>
      </c>
      <c r="B1230" s="2" t="str">
        <f ca="1">CHOOSE(RANDBETWEEN(1,2),"the distinguishing criterion when categorizing markets as either money market or capital market is whether the security is new or used (seasoned)","the length of the financial contract is the distinguishing criterion when categorizing markets as either primary market or secondary market")</f>
        <v>the distinguishing criterion when categorizing markets as either money market or capital market is whether the security is new or used (seasoned)</v>
      </c>
    </row>
    <row r="1231" spans="1:6" x14ac:dyDescent="0.35">
      <c r="A1231" s="6" t="s">
        <v>3250</v>
      </c>
      <c r="B1231" s="2" t="s">
        <v>3251</v>
      </c>
    </row>
    <row r="1232" spans="1:6" x14ac:dyDescent="0.35">
      <c r="A1232" s="6" t="s">
        <v>3252</v>
      </c>
      <c r="B1232" s="2" t="s">
        <v>121</v>
      </c>
    </row>
    <row r="1233" spans="1:8" ht="16" thickBot="1" x14ac:dyDescent="0.4"/>
    <row r="1234" spans="1:8" ht="16.5" thickTop="1" thickBot="1" x14ac:dyDescent="0.4">
      <c r="B1234" s="76" t="str">
        <f ca="1">[1]!alpha_ans($C$1234)</f>
        <v>B</v>
      </c>
      <c r="C1234" s="79" t="str">
        <f ca="1" xml:space="preserve"> "/\" &amp;RANDBETWEEN( 1,5) &amp; "/\" &amp;RANDBETWEEN( 1,120) &amp; "/\" &amp;B1223 &amp; "/\" &amp; B1224 &amp; "/\" &amp; B1225 &amp; "/\" &amp; B1226 &amp; "/\" &amp; B1227 &amp; "/\" &amp; B1228 &amp; "/\" &amp; B1229 &amp; "/\" &amp; B1230 &amp; "/\" &amp; B1231 &amp; "/\" &amp; B1232</f>
        <v>/\2/\21/\the secondary market includes stocks and bonds sold by one investor to another investor/\the primary market includes stocks and bonds sold by one investor to another investor/\the money market includes financial securities repayable within one year/\the money market includes financial securities repayable in more than one year/\the credit market includes trade credit, notes, and bonds that stipulate specific payments and/or interest/\the equity market includes trade credit, notes, and bonds that stipulate specific payments and/or interest/\the length of the financial contract is the distinguishing criterion when categorizing markets as either money market or capital market/\the distinguishing criterion when categorizing markets as either money market or capital market is whether the security is new or used (seasoned)/\the nature of the repayment promise is the distinguishing criterion when categorizing markets as either credit market or equity market/\the length of the financial contract is the distinguishing criterion when categorizing markets as either credit market or equity market</v>
      </c>
      <c r="D1234" s="80" t="s">
        <v>122</v>
      </c>
    </row>
    <row r="1235" spans="1:8" ht="16" thickTop="1" x14ac:dyDescent="0.35">
      <c r="B1235" s="81" t="str">
        <f ca="1">[1]!standardV_A($C$1234)</f>
        <v>the primary market includes stocks and bonds sold by one investor to another investor</v>
      </c>
      <c r="C1235" s="82"/>
      <c r="D1235" s="77"/>
    </row>
    <row r="1236" spans="1:8" x14ac:dyDescent="0.35">
      <c r="B1236" s="81" t="str">
        <f ca="1">[1]!standardV_B($C$1234)</f>
        <v>the nature of the repayment promise is the distinguishing criterion when categorizing markets as either credit market or equity market</v>
      </c>
      <c r="C1236" s="82"/>
      <c r="D1236" s="77"/>
    </row>
    <row r="1237" spans="1:8" x14ac:dyDescent="0.35">
      <c r="B1237" s="81" t="str">
        <f ca="1">[1]!standardV_C($C$1234)</f>
        <v>the equity market includes trade credit, notes, and bonds that stipulate specific payments and/or interest</v>
      </c>
      <c r="C1237" s="82"/>
      <c r="D1237" s="77"/>
    </row>
    <row r="1238" spans="1:8" x14ac:dyDescent="0.35">
      <c r="B1238" s="81" t="str">
        <f ca="1">[1]!standardV_D($C$1234)</f>
        <v>the money market includes financial securities repayable in more than one year</v>
      </c>
      <c r="C1238" s="82"/>
      <c r="D1238" s="77"/>
    </row>
    <row r="1239" spans="1:8" ht="16" thickBot="1" x14ac:dyDescent="0.4">
      <c r="B1239" s="83" t="str">
        <f ca="1">[1]!standardV_E($C$1234)</f>
        <v>the distinguishing criterion when categorizing markets as either money market or capital market is whether the security is new or used (seasoned)</v>
      </c>
      <c r="C1239" s="84"/>
      <c r="D1239" s="78"/>
    </row>
    <row r="1240" spans="1:8" ht="16" thickTop="1" x14ac:dyDescent="0.35"/>
    <row r="1241" spans="1:8" x14ac:dyDescent="0.35">
      <c r="H1241" s="69"/>
    </row>
    <row r="1242" spans="1:8" x14ac:dyDescent="0.35">
      <c r="A1242" s="88" t="s">
        <v>3731</v>
      </c>
      <c r="H1242" s="67"/>
    </row>
    <row r="1243" spans="1:8" x14ac:dyDescent="0.35">
      <c r="A1243" s="10">
        <f ca="1">RANDBETWEEN(5,20)*5000</f>
        <v>50000</v>
      </c>
      <c r="B1243" s="2" t="s">
        <v>2000</v>
      </c>
      <c r="D1243" s="6" t="s">
        <v>1289</v>
      </c>
      <c r="E1243" s="2" t="s">
        <v>454</v>
      </c>
      <c r="H1243" s="67"/>
    </row>
    <row r="1244" spans="1:8" x14ac:dyDescent="0.35">
      <c r="A1244" s="14">
        <f ca="1">RANDBETWEEN(50,140)/1000</f>
        <v>0.13100000000000001</v>
      </c>
      <c r="D1244" s="6" t="s">
        <v>665</v>
      </c>
      <c r="E1244" s="2" t="s">
        <v>455</v>
      </c>
      <c r="H1244" s="67"/>
    </row>
    <row r="1245" spans="1:8" ht="16" thickBot="1" x14ac:dyDescent="0.4">
      <c r="H1245" s="67"/>
    </row>
    <row r="1246" spans="1:8" ht="16.5" thickTop="1" thickBot="1" x14ac:dyDescent="0.4">
      <c r="B1246" s="76" t="str">
        <f ca="1">[1]!stdtf_ans($C$1246)</f>
        <v>A</v>
      </c>
      <c r="C1246" s="79" t="str">
        <f ca="1" xml:space="preserve"> "/\" &amp;RANDBETWEEN( 1,2) &amp; "/\" &amp; E1243 &amp; "/\" &amp; E1244</f>
        <v>/\1/\If the expenditure is depreciated for tax purposes very rapidly (such as over 3 years or even immediately as with “expensing” like cost-of-goods-sold) then the company is financially better-off than if they had depreciated over a long time period (such as over 10-years)./\If the expenditure is depreciated for tax purposes over a long time period (such as over 10-years) then the company is financially better-off than if they had depreciated it very rapidly (such as over 3 years or even immediately as with “expensing” like cost-of-goods-sold).</v>
      </c>
      <c r="D1246" s="80" t="s">
        <v>1131</v>
      </c>
      <c r="H1246" s="67"/>
    </row>
    <row r="1247" spans="1:8" ht="16.5" thickTop="1" thickBot="1" x14ac:dyDescent="0.4">
      <c r="B1247" s="83" t="str">
        <f ca="1">[1]!stdtf_q($C$1246)</f>
        <v>If the expenditure is depreciated for tax purposes very rapidly (such as over 3 years or even immediately as with “expensing” like cost-of-goods-sold) then the company is financially better-off than if they had depreciated over a long time period (such as over 10-years).</v>
      </c>
      <c r="C1247" s="84"/>
      <c r="D1247" s="78"/>
      <c r="H1247" s="67"/>
    </row>
    <row r="1248" spans="1:8" ht="16" thickTop="1" x14ac:dyDescent="0.35">
      <c r="H1248" s="67"/>
    </row>
    <row r="1249" spans="1:8" x14ac:dyDescent="0.35">
      <c r="H1249" s="67"/>
    </row>
    <row r="1250" spans="1:8" x14ac:dyDescent="0.35">
      <c r="A1250" s="88" t="s">
        <v>2594</v>
      </c>
    </row>
    <row r="1251" spans="1:8" x14ac:dyDescent="0.35">
      <c r="A1251" s="6" t="s">
        <v>2924</v>
      </c>
      <c r="B1251" s="2" t="s">
        <v>3734</v>
      </c>
    </row>
    <row r="1252" spans="1:8" x14ac:dyDescent="0.35">
      <c r="A1252" s="6" t="s">
        <v>2925</v>
      </c>
      <c r="B1252" s="2" t="s">
        <v>3422</v>
      </c>
    </row>
    <row r="1253" spans="1:8" x14ac:dyDescent="0.35">
      <c r="A1253" s="6" t="s">
        <v>2926</v>
      </c>
      <c r="B1253" s="2" t="s">
        <v>461</v>
      </c>
    </row>
    <row r="1254" spans="1:8" x14ac:dyDescent="0.35">
      <c r="A1254" s="6" t="s">
        <v>2927</v>
      </c>
      <c r="B1254" s="2" t="s">
        <v>3723</v>
      </c>
    </row>
    <row r="1255" spans="1:8" x14ac:dyDescent="0.35">
      <c r="A1255" s="6" t="s">
        <v>2928</v>
      </c>
      <c r="B1255" s="2" t="s">
        <v>3724</v>
      </c>
    </row>
    <row r="1256" spans="1:8" x14ac:dyDescent="0.35">
      <c r="A1256" s="6" t="s">
        <v>3467</v>
      </c>
      <c r="B1256" s="2" t="s">
        <v>1085</v>
      </c>
    </row>
    <row r="1257" spans="1:8" x14ac:dyDescent="0.35">
      <c r="A1257" s="6" t="s">
        <v>3248</v>
      </c>
      <c r="B1257" s="2" t="s">
        <v>208</v>
      </c>
    </row>
    <row r="1258" spans="1:8" x14ac:dyDescent="0.35">
      <c r="A1258" s="6" t="s">
        <v>3249</v>
      </c>
      <c r="B1258" s="2" t="s">
        <v>209</v>
      </c>
    </row>
    <row r="1259" spans="1:8" x14ac:dyDescent="0.35">
      <c r="A1259" s="6" t="s">
        <v>3250</v>
      </c>
      <c r="B1259" s="2" t="s">
        <v>2592</v>
      </c>
    </row>
    <row r="1260" spans="1:8" x14ac:dyDescent="0.35">
      <c r="A1260" s="6" t="s">
        <v>3252</v>
      </c>
      <c r="B1260" s="2" t="s">
        <v>2593</v>
      </c>
    </row>
    <row r="1261" spans="1:8" ht="16" thickBot="1" x14ac:dyDescent="0.4"/>
    <row r="1262" spans="1:8" ht="16.5" thickTop="1" thickBot="1" x14ac:dyDescent="0.4">
      <c r="B1262" s="76" t="str">
        <f ca="1">[1]!alpha_ans($C$1262)</f>
        <v>D</v>
      </c>
      <c r="C1262" s="79" t="str">
        <f ca="1" xml:space="preserve"> "/\" &amp;RANDBETWEEN( 1,5) &amp; "/\" &amp;RANDBETWEEN( 1,120) &amp; "/\" &amp;B1251 &amp; "/\" &amp; B1252 &amp; "/\" &amp; B1253 &amp; "/\" &amp; B1254 &amp; "/\" &amp; B1255 &amp; "/\" &amp; B1256 &amp; "/\" &amp; B1257 &amp; "/\" &amp; B1258 &amp; "/\" &amp; B1259 &amp; "/\" &amp; B1260</f>
        <v>/\4/\58/\the balance sheet for an asset-backed issuer has assets such as mortgages on the left-hand-side and liabilities such as asset-backed securities on the right-hand-side/\the balance sheet for an asset-backed issuer has assets such as asset-backed securities on the left-hand-side and liabilities such as mortgages on the right-hand-side/\an asset-backed security represents a pool of many loans of similar type/\an asset-backed security represents a pool of many loans that are all very different types of loans/\the value of outstanding asset-backed securities has grown from about $35 billion in 1985 to about $2 trillion now/\the value of outstanding asset-backed securities has grown from about $3 million in 1985 to about $1 billion now/\investors in asset-backed securities receive cash flows that, relatively speaking, are predictable like a bond instead of unpredictable like a stock/\investors in asset-backed securities receive cash flows that, relatively speaking, are unpredictable like a stock instead of predictable like a bond/\more prominent markets for asset-backed securities include mortgages, consumer credit, and student loans/\more prominent markets for asset-backed securities include municipal bonds, corporate bonds, and government bonds</v>
      </c>
      <c r="D1262" s="80" t="s">
        <v>3733</v>
      </c>
    </row>
    <row r="1263" spans="1:8" ht="16" thickTop="1" x14ac:dyDescent="0.35">
      <c r="B1263" s="81" t="str">
        <f ca="1">[1]!standardV_A($C$1262)</f>
        <v>the value of outstanding asset-backed securities has grown from about $3 million in 1985 to about $1 billion now</v>
      </c>
      <c r="C1263" s="82"/>
      <c r="D1263" s="77"/>
    </row>
    <row r="1264" spans="1:8" x14ac:dyDescent="0.35">
      <c r="B1264" s="81" t="str">
        <f ca="1">[1]!standardV_B($C$1262)</f>
        <v>an asset-backed security represents a pool of many loans that are all very different types of loans</v>
      </c>
      <c r="C1264" s="82"/>
      <c r="D1264" s="77"/>
    </row>
    <row r="1265" spans="1:7" x14ac:dyDescent="0.35">
      <c r="B1265" s="81" t="str">
        <f ca="1">[1]!standardV_C($C$1262)</f>
        <v>investors in asset-backed securities receive cash flows that, relatively speaking, are unpredictable like a stock instead of predictable like a bond</v>
      </c>
      <c r="C1265" s="82"/>
      <c r="D1265" s="77"/>
    </row>
    <row r="1266" spans="1:7" x14ac:dyDescent="0.35">
      <c r="B1266" s="81" t="str">
        <f ca="1">[1]!standardV_D($C$1262)</f>
        <v>more prominent markets for asset-backed securities include mortgages, consumer credit, and student loans</v>
      </c>
      <c r="C1266" s="82"/>
      <c r="D1266" s="77"/>
    </row>
    <row r="1267" spans="1:7" ht="16" thickBot="1" x14ac:dyDescent="0.4">
      <c r="B1267" s="83" t="str">
        <f ca="1">[1]!standardV_E($C$1262)</f>
        <v>the balance sheet for an asset-backed issuer has assets such as asset-backed securities on the left-hand-side and liabilities such as mortgages on the right-hand-side</v>
      </c>
      <c r="C1267" s="84"/>
      <c r="D1267" s="78"/>
    </row>
    <row r="1268" spans="1:7" ht="16" thickTop="1" x14ac:dyDescent="0.35"/>
    <row r="1270" spans="1:7" x14ac:dyDescent="0.35">
      <c r="A1270" s="88" t="s">
        <v>516</v>
      </c>
    </row>
    <row r="1271" spans="1:7" x14ac:dyDescent="0.35">
      <c r="A1271" s="4">
        <f ca="1">RANDBETWEEN(17,28)/100</f>
        <v>0.27</v>
      </c>
      <c r="B1271" s="2" t="s">
        <v>513</v>
      </c>
      <c r="F1271" s="91">
        <f ca="1">A1272*30/A1271</f>
        <v>4522.2222222222217</v>
      </c>
      <c r="G1271" s="2" t="s">
        <v>514</v>
      </c>
    </row>
    <row r="1272" spans="1:7" x14ac:dyDescent="0.35">
      <c r="A1272" s="26">
        <f ca="1">RANDBETWEEN(380,520)/10</f>
        <v>40.700000000000003</v>
      </c>
      <c r="B1272" s="2" t="s">
        <v>512</v>
      </c>
    </row>
    <row r="1273" spans="1:7" ht="16" thickBot="1" x14ac:dyDescent="0.4"/>
    <row r="1274" spans="1:7" ht="16.5" thickTop="1" thickBot="1" x14ac:dyDescent="0.4">
      <c r="B1274" s="76" t="str">
        <f ca="1">[1]!std_ans($C$1274)</f>
        <v>D</v>
      </c>
      <c r="C1274" s="79" t="str">
        <f ca="1" xml:space="preserve"> "/\" &amp;RANDBETWEEN( 1,120) &amp; "/\" &amp;RANDBETWEEN( 1,120) &amp; "/\" &amp;0.1 &amp; "/\" &amp; F1271</f>
        <v>/\111/\43/\0.1/\4522.22222222222</v>
      </c>
      <c r="D1274" s="80" t="s">
        <v>515</v>
      </c>
    </row>
    <row r="1275" spans="1:7" ht="16" thickTop="1" x14ac:dyDescent="0.35">
      <c r="B1275" s="74">
        <f ca="1">[1]!stdnum_A($C$1274)</f>
        <v>5471.8888888888869</v>
      </c>
      <c r="C1275" s="82"/>
      <c r="D1275" s="77"/>
    </row>
    <row r="1276" spans="1:7" x14ac:dyDescent="0.35">
      <c r="B1276" s="74">
        <f ca="1">[1]!stdnum_B($C$1274)</f>
        <v>4111.1111111111086</v>
      </c>
      <c r="C1276" s="82"/>
      <c r="D1276" s="77"/>
    </row>
    <row r="1277" spans="1:7" x14ac:dyDescent="0.35">
      <c r="B1277" s="74">
        <f ca="1">[1]!stdnum_C($C$1274)</f>
        <v>6019.0777777777766</v>
      </c>
      <c r="C1277" s="82"/>
      <c r="D1277" s="77"/>
    </row>
    <row r="1278" spans="1:7" x14ac:dyDescent="0.35">
      <c r="B1278" s="74">
        <f ca="1">[1]!stdnum_D($C$1274)</f>
        <v>4522.2222222222199</v>
      </c>
      <c r="C1278" s="82"/>
      <c r="D1278" s="77"/>
    </row>
    <row r="1279" spans="1:7" ht="16" thickBot="1" x14ac:dyDescent="0.4">
      <c r="B1279" s="75">
        <f ca="1">[1]!stdnum_E($C$1274)</f>
        <v>4974.4444444444425</v>
      </c>
      <c r="C1279" s="84"/>
      <c r="D1279" s="78"/>
    </row>
    <row r="1280" spans="1:7" ht="16" thickTop="1" x14ac:dyDescent="0.35"/>
    <row r="1282" spans="1:4" x14ac:dyDescent="0.35">
      <c r="A1282" s="88" t="s">
        <v>784</v>
      </c>
    </row>
    <row r="1283" spans="1:4" x14ac:dyDescent="0.35">
      <c r="A1283" s="6" t="s">
        <v>2924</v>
      </c>
      <c r="B1283" s="2" t="s">
        <v>1832</v>
      </c>
    </row>
    <row r="1284" spans="1:4" x14ac:dyDescent="0.35">
      <c r="A1284" s="6" t="s">
        <v>2925</v>
      </c>
      <c r="B1284" s="2" t="s">
        <v>1833</v>
      </c>
    </row>
    <row r="1285" spans="1:4" x14ac:dyDescent="0.35">
      <c r="A1285" s="6" t="s">
        <v>2926</v>
      </c>
      <c r="B1285" s="2" t="s">
        <v>1834</v>
      </c>
    </row>
    <row r="1286" spans="1:4" x14ac:dyDescent="0.35">
      <c r="A1286" s="6" t="s">
        <v>2927</v>
      </c>
      <c r="B1286" s="2" t="s">
        <v>3798</v>
      </c>
    </row>
    <row r="1287" spans="1:4" x14ac:dyDescent="0.35">
      <c r="A1287" s="6" t="s">
        <v>2928</v>
      </c>
      <c r="B1287" s="2" t="s">
        <v>3799</v>
      </c>
    </row>
    <row r="1288" spans="1:4" x14ac:dyDescent="0.35">
      <c r="A1288" s="6" t="s">
        <v>3467</v>
      </c>
      <c r="B1288" s="2" t="s">
        <v>782</v>
      </c>
    </row>
    <row r="1289" spans="1:4" x14ac:dyDescent="0.35">
      <c r="A1289" s="6" t="s">
        <v>3248</v>
      </c>
      <c r="B1289" s="2" t="s">
        <v>3800</v>
      </c>
    </row>
    <row r="1290" spans="1:4" x14ac:dyDescent="0.35">
      <c r="A1290" s="6" t="s">
        <v>3249</v>
      </c>
      <c r="B1290" s="2" t="s">
        <v>3801</v>
      </c>
    </row>
    <row r="1291" spans="1:4" x14ac:dyDescent="0.35">
      <c r="A1291" s="6" t="s">
        <v>3250</v>
      </c>
      <c r="B1291" s="2" t="s">
        <v>6</v>
      </c>
    </row>
    <row r="1292" spans="1:4" x14ac:dyDescent="0.35">
      <c r="A1292" s="6" t="s">
        <v>3252</v>
      </c>
      <c r="B1292" s="2" t="s">
        <v>7</v>
      </c>
    </row>
    <row r="1293" spans="1:4" ht="16" thickBot="1" x14ac:dyDescent="0.4"/>
    <row r="1294" spans="1:4" ht="16.5" thickTop="1" thickBot="1" x14ac:dyDescent="0.4">
      <c r="B1294" s="76" t="str">
        <f ca="1">[1]!alpha_ans($C$1294)</f>
        <v>D</v>
      </c>
      <c r="C1294" s="79" t="str">
        <f ca="1" xml:space="preserve"> "/\" &amp;RANDBETWEEN( 1,5) &amp; "/\" &amp;RANDBETWEEN( 1,120) &amp; "/\" &amp;B1283 &amp; "/\" &amp; B1284 &amp; "/\" &amp; B1285 &amp; "/\" &amp; B1286 &amp; "/\" &amp; B1287 &amp; "/\" &amp; B1288 &amp; "/\" &amp; B1289 &amp; "/\" &amp; B1290 &amp; "/\" &amp; B1291 &amp; "/\" &amp; B1292</f>
        <v>/\4/\72/\the long-run average dividend yield is smaller than the capital gains yield/\the long-run average dividend yield is bigger than the capital gains yield/\usually the dividend component is a realized cash flow whereas the capital gains yield is an accrued cash flow/\usually the dividend component is an accrued cash flow whereas the capital gains yield is a realized cash flow/\the dividend yield is more predictable and less risky than the capital gains yield/\the dividend yield is less predictable and riskier than the capital gains yield/\the dividends are usually taxable in the year received whereas capital gains are tax deferred/\the dividends are usually tax exempt whereas capital gains are immediately taxable/\the total rate of return minus the expected dividend yield equals the capital gains yield/\the capital gains yield minus the expected dividend yield equals the total rate of return</v>
      </c>
      <c r="D1294" s="80" t="s">
        <v>783</v>
      </c>
    </row>
    <row r="1295" spans="1:4" ht="16" thickTop="1" x14ac:dyDescent="0.35">
      <c r="B1295" s="81" t="str">
        <f ca="1">[1]!standardV_A($C$1294)</f>
        <v>the dividend yield is less predictable and riskier than the capital gains yield</v>
      </c>
      <c r="C1295" s="82"/>
      <c r="D1295" s="77"/>
    </row>
    <row r="1296" spans="1:4" x14ac:dyDescent="0.35">
      <c r="B1296" s="81" t="str">
        <f ca="1">[1]!standardV_B($C$1294)</f>
        <v>the capital gains yield minus the expected dividend yield equals the total rate of return</v>
      </c>
      <c r="C1296" s="82"/>
      <c r="D1296" s="77"/>
    </row>
    <row r="1297" spans="1:4" x14ac:dyDescent="0.35">
      <c r="B1297" s="81" t="str">
        <f ca="1">[1]!standardV_C($C$1294)</f>
        <v>the dividends are usually tax exempt whereas capital gains are immediately taxable</v>
      </c>
      <c r="C1297" s="82"/>
      <c r="D1297" s="77"/>
    </row>
    <row r="1298" spans="1:4" x14ac:dyDescent="0.35">
      <c r="B1298" s="81" t="str">
        <f ca="1">[1]!standardV_D($C$1294)</f>
        <v>usually the dividend component is a realized cash flow whereas the capital gains yield is an accrued cash flow</v>
      </c>
      <c r="C1298" s="82"/>
      <c r="D1298" s="77"/>
    </row>
    <row r="1299" spans="1:4" ht="16" thickBot="1" x14ac:dyDescent="0.4">
      <c r="B1299" s="83" t="str">
        <f ca="1">[1]!standardV_E($C$1294)</f>
        <v>the long-run average dividend yield is bigger than the capital gains yield</v>
      </c>
      <c r="C1299" s="84"/>
      <c r="D1299" s="78"/>
    </row>
    <row r="1300" spans="1:4" ht="16" thickTop="1" x14ac:dyDescent="0.35"/>
    <row r="1302" spans="1:4" x14ac:dyDescent="0.35">
      <c r="A1302" s="88" t="s">
        <v>787</v>
      </c>
    </row>
    <row r="1303" spans="1:4" x14ac:dyDescent="0.35">
      <c r="A1303" s="6" t="s">
        <v>785</v>
      </c>
      <c r="B1303" s="2" t="s">
        <v>789</v>
      </c>
    </row>
    <row r="1304" spans="1:4" x14ac:dyDescent="0.35">
      <c r="A1304" s="6" t="s">
        <v>786</v>
      </c>
      <c r="B1304" s="2" t="s">
        <v>3475</v>
      </c>
    </row>
    <row r="1305" spans="1:4" ht="16" thickBot="1" x14ac:dyDescent="0.4"/>
    <row r="1306" spans="1:4" ht="16.5" thickTop="1" thickBot="1" x14ac:dyDescent="0.4">
      <c r="B1306" s="76" t="str">
        <f ca="1">[1]!stdtf_ans($C$1306)</f>
        <v>A</v>
      </c>
      <c r="C1306" s="79" t="str">
        <f ca="1" xml:space="preserve"> "/\" &amp;RANDBETWEEN( 1,2) &amp; "/\" &amp; B1303 &amp; "/\" &amp; B1304</f>
        <v>/\1/\the standard deviation treats extreme upside and downside returns as having the same risk even though investors perceive upside returns as good opportunities/\the standard deviation treats extreme upside returns as being less risky than downside returns because investors perceive upside returns as good opportunities</v>
      </c>
      <c r="D1306" s="80" t="s">
        <v>788</v>
      </c>
    </row>
    <row r="1307" spans="1:4" ht="16.5" thickTop="1" thickBot="1" x14ac:dyDescent="0.4">
      <c r="B1307" s="83" t="str">
        <f ca="1">[1]!stdtf_q($C$1306)</f>
        <v>the standard deviation treats extreme upside and downside returns as having the same risk even though investors perceive upside returns as good opportunities</v>
      </c>
      <c r="C1307" s="84"/>
      <c r="D1307" s="78"/>
    </row>
    <row r="1308" spans="1:4" ht="16" thickTop="1" x14ac:dyDescent="0.35"/>
    <row r="1310" spans="1:4" x14ac:dyDescent="0.35">
      <c r="A1310" s="88" t="s">
        <v>965</v>
      </c>
    </row>
    <row r="1311" spans="1:4" x14ac:dyDescent="0.35">
      <c r="A1311" s="5" t="s">
        <v>372</v>
      </c>
      <c r="B1311" s="2" t="str">
        <f ca="1">CHOOSE(RANDBETWEEN(1,6),"2W, 3U, 4X, 6T, 7Z","1Y, 3U, 4X, 5V, 6T","1Y, 2W, 4X, 5V, 7Z","2W, 4X, 5V, 6T, 7Z","1Y, 2W, 3U, 4X, 6T","1Y, 3U, 5V, 6T, 7Z")</f>
        <v>2W, 4X, 5V, 6T, 7Z</v>
      </c>
    </row>
    <row r="1312" spans="1:4" x14ac:dyDescent="0.35">
      <c r="A1312" s="5" t="s">
        <v>1683</v>
      </c>
      <c r="B1312" s="2" t="s">
        <v>2685</v>
      </c>
    </row>
    <row r="1313" spans="1:4" x14ac:dyDescent="0.35">
      <c r="B1313" s="2" t="s">
        <v>2686</v>
      </c>
    </row>
    <row r="1314" spans="1:4" x14ac:dyDescent="0.35">
      <c r="B1314" s="2" t="s">
        <v>2687</v>
      </c>
    </row>
    <row r="1315" spans="1:4" x14ac:dyDescent="0.35">
      <c r="B1315" s="2" t="s">
        <v>963</v>
      </c>
    </row>
    <row r="1316" spans="1:4" ht="16" thickBot="1" x14ac:dyDescent="0.4"/>
    <row r="1317" spans="1:4" ht="16.5" thickTop="1" thickBot="1" x14ac:dyDescent="0.4">
      <c r="B1317" s="76" t="str">
        <f ca="1">[1]!std_ans($C$1317)</f>
        <v>B</v>
      </c>
      <c r="C1317" s="79" t="str">
        <f ca="1" xml:space="preserve"> "/\" &amp;RANDBETWEEN( 1,120) &amp; "/\" &amp; B1311 &amp; "/\" &amp; B1312 &amp; "/\" &amp; B1313 &amp; "/\" &amp; B1314 &amp; "/\" &amp; B1315</f>
        <v>/\75/\2W, 4X, 5V, 6T, 7Z/\1V, 2W, 3U, 6X, 7Z/\2Z, 3U, 4Y, 6T, 7W/\1Y, 4X, 5W, 6T, 7U/\2W, 3U, 4X, 5Z, 6V</v>
      </c>
      <c r="D1317" s="80" t="s">
        <v>964</v>
      </c>
    </row>
    <row r="1318" spans="1:4" ht="16" thickTop="1" x14ac:dyDescent="0.35">
      <c r="B1318" s="81" t="str">
        <f ca="1">[1]!simpleV_A($C$1317)</f>
        <v>1Y, 4X, 5W, 6T, 7U</v>
      </c>
      <c r="C1318" s="82"/>
      <c r="D1318" s="77"/>
    </row>
    <row r="1319" spans="1:4" x14ac:dyDescent="0.35">
      <c r="B1319" s="81" t="str">
        <f ca="1">[1]!simpleV_B($C$1317)</f>
        <v>2W, 4X, 5V, 6T, 7Z</v>
      </c>
      <c r="C1319" s="82"/>
      <c r="D1319" s="77"/>
    </row>
    <row r="1320" spans="1:4" x14ac:dyDescent="0.35">
      <c r="B1320" s="81" t="str">
        <f ca="1">[1]!simpleV_C($C$1317)</f>
        <v>2Z, 3U, 4Y, 6T, 7W</v>
      </c>
      <c r="C1320" s="82"/>
      <c r="D1320" s="77"/>
    </row>
    <row r="1321" spans="1:4" x14ac:dyDescent="0.35">
      <c r="B1321" s="81" t="str">
        <f ca="1">[1]!simpleV_D($C$1317)</f>
        <v>1V, 2W, 3U, 6X, 7Z</v>
      </c>
      <c r="C1321" s="82"/>
      <c r="D1321" s="77"/>
    </row>
    <row r="1322" spans="1:4" ht="16" thickBot="1" x14ac:dyDescent="0.4">
      <c r="B1322" s="83" t="str">
        <f ca="1">[1]!simpleV_E($C$1317)</f>
        <v>2W, 3U, 4X, 5Z, 6V</v>
      </c>
      <c r="C1322" s="84"/>
      <c r="D1322" s="78"/>
    </row>
    <row r="1323" spans="1:4" ht="16" thickTop="1" x14ac:dyDescent="0.35"/>
    <row r="1325" spans="1:4" x14ac:dyDescent="0.35">
      <c r="A1325" s="88" t="s">
        <v>3681</v>
      </c>
    </row>
    <row r="1326" spans="1:4" x14ac:dyDescent="0.35">
      <c r="A1326" s="6" t="s">
        <v>2924</v>
      </c>
      <c r="B1326" s="2" t="s">
        <v>2361</v>
      </c>
    </row>
    <row r="1327" spans="1:4" x14ac:dyDescent="0.35">
      <c r="A1327" s="6" t="s">
        <v>2925</v>
      </c>
      <c r="B1327" s="2" t="s">
        <v>2362</v>
      </c>
    </row>
    <row r="1328" spans="1:4" x14ac:dyDescent="0.35">
      <c r="A1328" s="6" t="s">
        <v>2926</v>
      </c>
      <c r="B1328" s="2" t="s">
        <v>3149</v>
      </c>
    </row>
    <row r="1329" spans="1:4" x14ac:dyDescent="0.35">
      <c r="A1329" s="6" t="s">
        <v>2927</v>
      </c>
      <c r="B1329" s="2" t="s">
        <v>1645</v>
      </c>
    </row>
    <row r="1330" spans="1:4" x14ac:dyDescent="0.35">
      <c r="A1330" s="6" t="s">
        <v>2928</v>
      </c>
      <c r="B1330" s="2" t="s">
        <v>2363</v>
      </c>
    </row>
    <row r="1331" spans="1:4" x14ac:dyDescent="0.35">
      <c r="A1331" s="6" t="s">
        <v>3467</v>
      </c>
      <c r="B1331" s="2" t="s">
        <v>2703</v>
      </c>
    </row>
    <row r="1332" spans="1:4" x14ac:dyDescent="0.35">
      <c r="A1332" s="6" t="s">
        <v>3248</v>
      </c>
      <c r="B1332" s="2" t="s">
        <v>2704</v>
      </c>
    </row>
    <row r="1333" spans="1:4" x14ac:dyDescent="0.35">
      <c r="A1333" s="6" t="s">
        <v>3249</v>
      </c>
      <c r="B1333" s="2" t="s">
        <v>2705</v>
      </c>
    </row>
    <row r="1334" spans="1:4" x14ac:dyDescent="0.35">
      <c r="A1334" s="6" t="s">
        <v>3250</v>
      </c>
      <c r="B1334" s="2" t="s">
        <v>3064</v>
      </c>
    </row>
    <row r="1335" spans="1:4" x14ac:dyDescent="0.35">
      <c r="A1335" s="6" t="s">
        <v>3252</v>
      </c>
      <c r="B1335" s="2" t="s">
        <v>2340</v>
      </c>
    </row>
    <row r="1336" spans="1:4" ht="16" thickBot="1" x14ac:dyDescent="0.4"/>
    <row r="1337" spans="1:4" ht="16.5" thickTop="1" thickBot="1" x14ac:dyDescent="0.4">
      <c r="B1337" s="76" t="str">
        <f ca="1">[1]!alpha_ans($C$1337)</f>
        <v>D</v>
      </c>
      <c r="C1337" s="79" t="str">
        <f ca="1" xml:space="preserve"> "/\" &amp;RANDBETWEEN( 1,5) &amp; "/\" &amp;RANDBETWEEN( 1,120) &amp; "/\" &amp;B1326 &amp; "/\" &amp; B1327 &amp; "/\" &amp; B1328 &amp; "/\" &amp; B1329 &amp; "/\" &amp; B1330 &amp; "/\" &amp; B1331 &amp; "/\" &amp; B1332 &amp; "/\" &amp; B1333 &amp; "/\" &amp; B1334 &amp; "/\" &amp; B1335</f>
        <v>/\4/\42/\asset allocation is the divvying of investment funds into broad asset classes/\asset allocation is determining which specific securities are good/\studies show individual security selection explains less than asset allocation about long run performance/\studies show individual security selection explains more than asset allocation about long run performance/\traditional asset classes include stocks, bonds, and cash/\traditional asset classes include stocks, bonds, cash, options, and futures/\modern asset allocation categories include large cap stocks, small cap stocks, bonds, cash, owner occupied housing (real estate), and international equities/\modern asset allocation categories include large cap stocks, small cap stocks, bonds, cash, and mutual funds/\large institutional asset allocation recommendations outperform a robot (fixed) strategy about half the time/\large institutional asset allocation recommendations outperform a robot (fixed) strategy most of the time</v>
      </c>
      <c r="D1337" s="80" t="s">
        <v>2341</v>
      </c>
    </row>
    <row r="1338" spans="1:4" ht="16" thickTop="1" x14ac:dyDescent="0.35">
      <c r="B1338" s="81" t="str">
        <f ca="1">[1]!standardV_A($C$1337)</f>
        <v>studies show individual security selection explains more than asset allocation about long run performance</v>
      </c>
      <c r="C1338" s="82"/>
      <c r="D1338" s="77"/>
    </row>
    <row r="1339" spans="1:4" x14ac:dyDescent="0.35">
      <c r="B1339" s="81" t="str">
        <f ca="1">[1]!standardV_B($C$1337)</f>
        <v>modern asset allocation categories include large cap stocks, small cap stocks, bonds, cash, and mutual funds</v>
      </c>
      <c r="C1339" s="82"/>
      <c r="D1339" s="77"/>
    </row>
    <row r="1340" spans="1:4" x14ac:dyDescent="0.35">
      <c r="B1340" s="81" t="str">
        <f ca="1">[1]!standardV_C($C$1337)</f>
        <v>large institutional asset allocation recommendations outperform a robot (fixed) strategy most of the time</v>
      </c>
      <c r="C1340" s="82"/>
      <c r="D1340" s="77"/>
    </row>
    <row r="1341" spans="1:4" x14ac:dyDescent="0.35">
      <c r="B1341" s="81" t="str">
        <f ca="1">[1]!standardV_D($C$1337)</f>
        <v>traditional asset classes include stocks, bonds, and cash</v>
      </c>
      <c r="C1341" s="82"/>
      <c r="D1341" s="77"/>
    </row>
    <row r="1342" spans="1:4" ht="16" thickBot="1" x14ac:dyDescent="0.4">
      <c r="B1342" s="83" t="str">
        <f ca="1">[1]!standardV_E($C$1337)</f>
        <v>asset allocation is determining which specific securities are good</v>
      </c>
      <c r="C1342" s="84"/>
      <c r="D1342" s="78"/>
    </row>
    <row r="1343" spans="1:4" ht="16" thickTop="1" x14ac:dyDescent="0.35"/>
    <row r="1345" spans="1:4" x14ac:dyDescent="0.35">
      <c r="A1345" s="88" t="s">
        <v>1666</v>
      </c>
    </row>
    <row r="1346" spans="1:4" x14ac:dyDescent="0.35">
      <c r="A1346" s="6" t="s">
        <v>1289</v>
      </c>
      <c r="B1346" s="2" t="str">
        <f>"A company that is ""land-rich, cash poor"" probably has very low liquidity ratios"</f>
        <v>A company that is "land-rich, cash poor" probably has very low liquidity ratios</v>
      </c>
    </row>
    <row r="1347" spans="1:4" x14ac:dyDescent="0.35">
      <c r="A1347" s="6" t="s">
        <v>665</v>
      </c>
      <c r="B1347" s="2" t="str">
        <f ca="1">CHOOSE(RANDBETWEEN(1,3),"A company that is ""land-rich, cash poor"" probably has very high liquidity ratios","A company that is ""land-rich, cash poor"" probably has a very low asset turnover ratio","A company that is ""land-rich, cash poor"" probably has a very high asset turnover ratio")</f>
        <v>A company that is "land-rich, cash poor" probably has very high liquidity ratios</v>
      </c>
    </row>
    <row r="1348" spans="1:4" ht="16" thickBot="1" x14ac:dyDescent="0.4"/>
    <row r="1349" spans="1:4" ht="16.5" thickTop="1" thickBot="1" x14ac:dyDescent="0.4">
      <c r="B1349" s="76" t="str">
        <f ca="1">[1]!stdtf_ans($C$1349)</f>
        <v>A</v>
      </c>
      <c r="C1349" s="79" t="str">
        <f ca="1" xml:space="preserve"> "/\" &amp;RANDBETWEEN( 1,2) &amp; "/\" &amp; B1346 &amp; "/\" &amp; B1347</f>
        <v>/\1/\A company that is "land-rich, cash poor" probably has very low liquidity ratios/\A company that is "land-rich, cash poor" probably has very high liquidity ratios</v>
      </c>
      <c r="D1349" s="80" t="s">
        <v>1665</v>
      </c>
    </row>
    <row r="1350" spans="1:4" ht="16.5" thickTop="1" thickBot="1" x14ac:dyDescent="0.4">
      <c r="B1350" s="83" t="str">
        <f ca="1">[1]!stdtf_q($C$1349)</f>
        <v>A company that is "land-rich, cash poor" probably has very low liquidity ratios</v>
      </c>
      <c r="C1350" s="84"/>
      <c r="D1350" s="78"/>
    </row>
    <row r="1351" spans="1:4" ht="16" thickTop="1" x14ac:dyDescent="0.35"/>
    <row r="1353" spans="1:4" x14ac:dyDescent="0.35">
      <c r="A1353" s="88" t="s">
        <v>2656</v>
      </c>
    </row>
    <row r="1354" spans="1:4" x14ac:dyDescent="0.35">
      <c r="A1354" s="6" t="s">
        <v>1289</v>
      </c>
      <c r="B1354" s="2" t="str">
        <f ca="1">IF((IF(RANDBETWEEN(0,1)=0,1,-1))&gt;0,"the stock price for a company with superior investment opportunities probably declines when the company increases its dividend payout ratio.","the stock price for a company with inferior investment opportunities probably increases when the company decreases its dividend payout ratio.")</f>
        <v>the stock price for a company with inferior investment opportunities probably increases when the company decreases its dividend payout ratio.</v>
      </c>
    </row>
    <row r="1355" spans="1:4" x14ac:dyDescent="0.35">
      <c r="A1355" s="6" t="s">
        <v>665</v>
      </c>
      <c r="B1355" s="2" t="str">
        <f ca="1">IF((IF(RANDBETWEEN(0,1)=0,1,-1))&gt;0,"the stock price for a company with superior investment opportunities probably increases when the company increases its dividend payout ratio.","the stock price for a company with inferior investment opportunities probably decreases when the company decreases its dividend payout ratio.")</f>
        <v>the stock price for a company with superior investment opportunities probably increases when the company increases its dividend payout ratio.</v>
      </c>
    </row>
    <row r="1356" spans="1:4" ht="16" thickBot="1" x14ac:dyDescent="0.4"/>
    <row r="1357" spans="1:4" ht="16.5" thickTop="1" thickBot="1" x14ac:dyDescent="0.4">
      <c r="B1357" s="76" t="str">
        <f ca="1">[1]!stdtf_ans($C$1357)</f>
        <v>A</v>
      </c>
      <c r="C1357" s="79" t="str">
        <f ca="1" xml:space="preserve"> "/\" &amp;RANDBETWEEN( 1,2) &amp; "/\" &amp; B1354 &amp; "/\" &amp; B1355</f>
        <v>/\1/\the stock price for a company with inferior investment opportunities probably increases when the company decreases its dividend payout ratio./\the stock price for a company with superior investment opportunities probably increases when the company increases its dividend payout ratio.</v>
      </c>
      <c r="D1357" s="80" t="s">
        <v>3650</v>
      </c>
    </row>
    <row r="1358" spans="1:4" ht="16.5" thickTop="1" thickBot="1" x14ac:dyDescent="0.4">
      <c r="B1358" s="83" t="str">
        <f ca="1">[1]!stdtf_q($C$1357)</f>
        <v>the stock price for a company with inferior investment opportunities probably increases when the company decreases its dividend payout ratio.</v>
      </c>
      <c r="C1358" s="84"/>
      <c r="D1358" s="78"/>
    </row>
    <row r="1359" spans="1:4" ht="16" thickTop="1" x14ac:dyDescent="0.35"/>
    <row r="1361" spans="1:4" x14ac:dyDescent="0.35">
      <c r="A1361" s="88" t="s">
        <v>3570</v>
      </c>
    </row>
    <row r="1362" spans="1:4" x14ac:dyDescent="0.35">
      <c r="A1362" s="6" t="s">
        <v>2924</v>
      </c>
      <c r="B1362" s="2" t="s">
        <v>1605</v>
      </c>
    </row>
    <row r="1363" spans="1:4" x14ac:dyDescent="0.35">
      <c r="A1363" s="6" t="s">
        <v>2925</v>
      </c>
      <c r="B1363" s="2" t="s">
        <v>2275</v>
      </c>
    </row>
    <row r="1364" spans="1:4" x14ac:dyDescent="0.35">
      <c r="A1364" s="6" t="s">
        <v>2926</v>
      </c>
      <c r="B1364" s="2" t="s">
        <v>2276</v>
      </c>
    </row>
    <row r="1365" spans="1:4" x14ac:dyDescent="0.35">
      <c r="A1365" s="6" t="s">
        <v>2927</v>
      </c>
      <c r="B1365" s="2" t="s">
        <v>990</v>
      </c>
    </row>
    <row r="1366" spans="1:4" x14ac:dyDescent="0.35">
      <c r="A1366" s="6" t="s">
        <v>2928</v>
      </c>
      <c r="B1366" s="2" t="s">
        <v>3567</v>
      </c>
    </row>
    <row r="1367" spans="1:4" x14ac:dyDescent="0.35">
      <c r="A1367" s="6" t="s">
        <v>3467</v>
      </c>
      <c r="B1367" s="2" t="s">
        <v>3568</v>
      </c>
    </row>
    <row r="1368" spans="1:4" ht="16" thickBot="1" x14ac:dyDescent="0.4"/>
    <row r="1369" spans="1:4" ht="16.5" thickTop="1" thickBot="1" x14ac:dyDescent="0.4">
      <c r="B1369" s="76" t="str">
        <f ca="1">[1]!alpha_ans($C$1369)</f>
        <v>D</v>
      </c>
      <c r="C1369" s="79" t="str">
        <f ca="1" xml:space="preserve"> "/\" &amp;RANDBETWEEN( 1,5) &amp; "/\" &amp;RANDBETWEEN( 1,3) &amp; "/\" &amp;RANDBETWEEN( 1,2) &amp; "/\" &amp;B1362 &amp; "/\" &amp; B1363 &amp; "/\" &amp; B1364 &amp; "/\" &amp; B1365 &amp; "/\" &amp; B1366 &amp; "/\" &amp; B1367</f>
        <v>/\4/\3/\2/\The financial market may be efficient with respect to one information event but not others./\The stock market is efficient but the bond market is not./\The EMH argues that stock prices quickly respond to new information, but that the adjustment process takes some time./\The EMH argues that stock prices adjust to new information within two minutes of when the information becomes publicly available./\With efficient markets no trading strategy consistently earns positive economic profits because no investor consistently finds new information offering an advantage for predicting expected rates of return./\With efficient markets no trading strategy consistently earns positive economic profits because no investor consistently finds new information offering an advantage for predicting required rates of return.</v>
      </c>
      <c r="D1369" s="80" t="s">
        <v>3569</v>
      </c>
    </row>
    <row r="1370" spans="1:4" ht="16" thickTop="1" x14ac:dyDescent="0.35">
      <c r="B1370" s="81" t="str">
        <f ca="1">[1]!complexV_A($C$1369)</f>
        <v>The stock market is efficient but the bond market is not.</v>
      </c>
      <c r="C1370" s="82"/>
      <c r="D1370" s="77"/>
    </row>
    <row r="1371" spans="1:4" x14ac:dyDescent="0.35">
      <c r="B1371" s="81" t="str">
        <f ca="1">[1]!complexV_B($C$1369)</f>
        <v>The EMH argues that stock prices quickly respond to new information, but that the adjustment process takes some time.</v>
      </c>
      <c r="C1371" s="82"/>
      <c r="D1371" s="77"/>
    </row>
    <row r="1372" spans="1:4" x14ac:dyDescent="0.35">
      <c r="B1372" s="81" t="str">
        <f ca="1">[1]!complexV_C($C$1369)</f>
        <v>With efficient markets no trading strategy consistently earns positive economic profits because no investor consistently finds new information offering an advantage for predicting expected rates of return.</v>
      </c>
      <c r="C1372" s="82"/>
      <c r="D1372" s="77"/>
    </row>
    <row r="1373" spans="1:4" x14ac:dyDescent="0.35">
      <c r="B1373" s="81" t="str">
        <f ca="1">[1]!complexV_D($C$1369)</f>
        <v>Two choices, B and C, are correct</v>
      </c>
      <c r="C1373" s="82"/>
      <c r="D1373" s="77"/>
    </row>
    <row r="1374" spans="1:4" ht="16" thickBot="1" x14ac:dyDescent="0.4">
      <c r="B1374" s="83" t="str">
        <f ca="1">[1]!complexV_E($C$1369)</f>
        <v>None of the A-B-C choices are correct</v>
      </c>
      <c r="C1374" s="84"/>
      <c r="D1374" s="78"/>
    </row>
    <row r="1375" spans="1:4" ht="16" thickTop="1" x14ac:dyDescent="0.35"/>
    <row r="1377" spans="1:8" x14ac:dyDescent="0.35">
      <c r="A1377" s="88" t="s">
        <v>3807</v>
      </c>
    </row>
    <row r="1378" spans="1:8" x14ac:dyDescent="0.35">
      <c r="A1378" s="5" t="s">
        <v>3472</v>
      </c>
      <c r="B1378" s="5" t="s">
        <v>3470</v>
      </c>
      <c r="C1378" s="5" t="s">
        <v>3471</v>
      </c>
      <c r="D1378" s="11" t="s">
        <v>3474</v>
      </c>
      <c r="E1378" s="11" t="s">
        <v>3473</v>
      </c>
    </row>
    <row r="1379" spans="1:8" x14ac:dyDescent="0.35">
      <c r="A1379" s="4" t="s">
        <v>1370</v>
      </c>
      <c r="B1379" s="4" t="str">
        <f ca="1">IF(D1379=1,A1379,"")</f>
        <v>W</v>
      </c>
      <c r="C1379" s="4" t="str">
        <f ca="1">IF(D1379=2,A1379,"")</f>
        <v/>
      </c>
      <c r="D1379" s="4">
        <f ca="1">RANDBETWEEN(1,2)</f>
        <v>1</v>
      </c>
      <c r="E1379" s="2" t="str">
        <f ca="1">CHOOSE(D1379," ____ are free but you must deposit collateral to validate the security"," ____ are costly because you have to buy them ")</f>
        <v xml:space="preserve"> ____ are free but you must deposit collateral to validate the security</v>
      </c>
    </row>
    <row r="1380" spans="1:8" x14ac:dyDescent="0.35">
      <c r="A1380" s="4" t="s">
        <v>1872</v>
      </c>
      <c r="B1380" s="4" t="str">
        <f ca="1">IF(D1380=1,A1380,"")</f>
        <v>X</v>
      </c>
      <c r="C1380" s="4" t="str">
        <f ca="1">IF(D1380=2,A1380,"")</f>
        <v/>
      </c>
      <c r="D1380" s="4">
        <f ca="1">RANDBETWEEN(1,2)</f>
        <v>1</v>
      </c>
      <c r="E1380" s="2" t="str">
        <f ca="1">CHOOSE(D1380,"For one underlying asset there exists one long and one short ____ position","For one underlying asset there exists two different types of ____ and each of those two has one long and one short position")</f>
        <v>For one underlying asset there exists one long and one short ____ position</v>
      </c>
    </row>
    <row r="1381" spans="1:8" x14ac:dyDescent="0.35">
      <c r="A1381" s="4" t="s">
        <v>1873</v>
      </c>
      <c r="B1381" s="4" t="str">
        <f ca="1">IF(D1381=1,A1381,"")</f>
        <v/>
      </c>
      <c r="C1381" s="4" t="str">
        <f ca="1">IF(D1381=2,A1381,"")</f>
        <v>Y</v>
      </c>
      <c r="D1381" s="4">
        <f ca="1">RANDBETWEEN(1,2)</f>
        <v>2</v>
      </c>
      <c r="E1381" s="2" t="str">
        <f ca="1">CHOOSE(D1381,"A short ____ position entails an obligation, not a right, to either exercise or cash out of the contract","A short ____ position entails an obligation only when the long side chooses to exercise the contract")</f>
        <v>A short ____ position entails an obligation only when the long side chooses to exercise the contract</v>
      </c>
    </row>
    <row r="1382" spans="1:8" x14ac:dyDescent="0.35">
      <c r="A1382" s="4" t="s">
        <v>1874</v>
      </c>
      <c r="B1382" s="4" t="str">
        <f ca="1">IF(D1382=1,A1382,"")</f>
        <v>Z</v>
      </c>
      <c r="C1382" s="4" t="str">
        <f ca="1">IF(D1382=2,A1382,"")</f>
        <v/>
      </c>
      <c r="D1382" s="4">
        <f ca="1">RANDBETWEEN(1,2)</f>
        <v>1</v>
      </c>
      <c r="E1382" s="2" t="str">
        <f ca="1">CHOOSE(D1382,"A long ____ position entails an obligation, not a right, to either exercise or cash out of the contract","A long ____ position entails a right, not an obligation, to either exercise or cash out of the contract")</f>
        <v>A long ____ position entails an obligation, not a right, to either exercise or cash out of the contract</v>
      </c>
    </row>
    <row r="1383" spans="1:8" x14ac:dyDescent="0.35">
      <c r="A1383" s="6"/>
    </row>
    <row r="1384" spans="1:8" x14ac:dyDescent="0.35">
      <c r="B1384" s="2" t="str">
        <f ca="1">"( "&amp; B1379&amp;" "&amp;B1380&amp;" "&amp;B1381&amp;" "&amp;B1382&amp;" )"</f>
        <v>( W X  Z )</v>
      </c>
      <c r="C1384" s="2" t="str">
        <f ca="1">"("&amp; C1379&amp;" "&amp;C1380&amp;" "&amp;C1381&amp;" "&amp;C1382&amp;" )"</f>
        <v>(  Y  )</v>
      </c>
      <c r="D1384" s="2" t="s">
        <v>2273</v>
      </c>
    </row>
    <row r="1385" spans="1:8" x14ac:dyDescent="0.35">
      <c r="B1385" s="2" t="str">
        <f ca="1">IF(B1384="(    )","(none)",B1384)</f>
        <v>( W X  Z )</v>
      </c>
      <c r="C1385" s="2" t="str">
        <f ca="1">IF(C1384="(    )","(none)",C1384)</f>
        <v>(  Y  )</v>
      </c>
      <c r="D1385" s="2" t="s">
        <v>2274</v>
      </c>
    </row>
    <row r="1386" spans="1:8" x14ac:dyDescent="0.35">
      <c r="A1386" s="2">
        <f ca="1">RANDBETWEEN(1,2)</f>
        <v>1</v>
      </c>
      <c r="B1386" s="2" t="str">
        <f ca="1">IF(A1386=1,B1385,C1385)</f>
        <v>( W X  Z )</v>
      </c>
      <c r="C1386" s="2" t="str">
        <f ca="1">IF(A1386=1,"futures","options")</f>
        <v>futures</v>
      </c>
      <c r="D1386" s="2" t="s">
        <v>2272</v>
      </c>
    </row>
    <row r="1387" spans="1:8" x14ac:dyDescent="0.35">
      <c r="A1387" s="2">
        <f ca="1">RANDBETWEEN(1,4)</f>
        <v>2</v>
      </c>
      <c r="B1387" s="2" t="str">
        <f ca="1">IF(CHOOSE(A1387,E1387,F1387,G1387,H1387)="(     )","(all)",CHOOSE(A1387,E1387,F1387,G1387,H1387))</f>
        <v>(  X Y Z )</v>
      </c>
      <c r="C1387" s="2" t="str">
        <f ca="1">IF(A1386=2,"futures","options")</f>
        <v>options</v>
      </c>
      <c r="D1387" s="2" t="s">
        <v>1239</v>
      </c>
      <c r="E1387" s="2" t="str">
        <f ca="1">"( "&amp; B1379&amp;" "&amp;C1380&amp;" "&amp;B1381&amp;" "&amp;C1382&amp;" )"</f>
        <v>( W    )</v>
      </c>
      <c r="F1387" s="2" t="str">
        <f ca="1">"( "&amp; C1379&amp;" "&amp;B1380&amp;" "&amp;C1381&amp;" "&amp;B1382&amp;" )"</f>
        <v>(  X Y Z )</v>
      </c>
      <c r="G1387" s="2" t="str">
        <f ca="1">"( "&amp; B1379&amp;" "&amp;B1380&amp;" "&amp;C1381&amp;" "&amp;C1382&amp;" )"</f>
        <v>( W X Y  )</v>
      </c>
      <c r="H1387" s="2" t="str">
        <f ca="1">"( "&amp; C1379&amp;" "&amp;C1380&amp;" "&amp;B1381&amp;" "&amp;B1382&amp;" )"</f>
        <v>(    Z )</v>
      </c>
    </row>
    <row r="1388" spans="1:8" x14ac:dyDescent="0.35">
      <c r="A1388" s="2">
        <f ca="1">IF(A1387=1,RANDBETWEEN(2,4),IF(A1387=4,RANDBETWEEN(1,3),A1387+(IF(RANDBETWEEN(0,1)=0,1,-1))))</f>
        <v>1</v>
      </c>
      <c r="B1388" s="2" t="str">
        <f ca="1">IF(CHOOSE(A1388,E1387,F1387,G1387,H1387)="(     )","(all)",CHOOSE(A1388,E1387,F1387,G1387,H1387))</f>
        <v>( W    )</v>
      </c>
      <c r="D1388" s="2" t="s">
        <v>1240</v>
      </c>
    </row>
    <row r="1389" spans="1:8" ht="16" thickBot="1" x14ac:dyDescent="0.4"/>
    <row r="1390" spans="1:8" ht="16.5" thickTop="1" thickBot="1" x14ac:dyDescent="0.4">
      <c r="B1390" s="76" t="str">
        <f ca="1">[1]!alpha_ans($C$1390)</f>
        <v>D</v>
      </c>
      <c r="C1390" s="79" t="str">
        <f ca="1" xml:space="preserve"> "/\" &amp;RANDBETWEEN( 1,5) &amp; "/\" &amp;RANDBETWEEN( 1,120) &amp; "/\" &amp;RANDBETWEEN( 1,6) &amp; "/\" &amp;RANDBETWEEN( 1,2) &amp; "/\" &amp; B1386 &amp; "/\" &amp;B1387 &amp; "/\" &amp; B1388 &amp; "/\" &amp; C1386 &amp; "/\" &amp; C1387</f>
        <v>/\4/\74/\3/\1/\( W X  Z )/\(  X Y Z )/\( W    )/\futures/\options</v>
      </c>
      <c r="D1390" s="80" t="s">
        <v>899</v>
      </c>
    </row>
    <row r="1391" spans="1:8" ht="16" thickTop="1" x14ac:dyDescent="0.35">
      <c r="B1391" s="81" t="str">
        <f ca="1">[1]!onepair_A($C$1390)</f>
        <v>( W    )</v>
      </c>
      <c r="C1391" s="82" t="str">
        <f ca="1">[1]!onepair_A2($C$1390)</f>
        <v>futures</v>
      </c>
      <c r="D1391" s="77"/>
    </row>
    <row r="1392" spans="1:8" x14ac:dyDescent="0.35">
      <c r="B1392" s="81" t="str">
        <f ca="1">[1]!onepair_B($C$1390)</f>
        <v>( W X  Z )</v>
      </c>
      <c r="C1392" s="82" t="str">
        <f ca="1">[1]!onepair_B2($C$1390)</f>
        <v>options</v>
      </c>
      <c r="D1392" s="77"/>
    </row>
    <row r="1393" spans="1:4" x14ac:dyDescent="0.35">
      <c r="B1393" s="81" t="str">
        <f ca="1">[1]!onepair_C($C$1390)</f>
        <v>(  X Y Z )</v>
      </c>
      <c r="C1393" s="82" t="str">
        <f ca="1">[1]!onepair_C2($C$1390)</f>
        <v>futures</v>
      </c>
      <c r="D1393" s="77"/>
    </row>
    <row r="1394" spans="1:4" x14ac:dyDescent="0.35">
      <c r="B1394" s="81" t="str">
        <f ca="1">[1]!onepair_D($C$1390)</f>
        <v>( W X  Z )</v>
      </c>
      <c r="C1394" s="82" t="str">
        <f ca="1">[1]!onepair_D2($C$1390)</f>
        <v>futures</v>
      </c>
      <c r="D1394" s="77"/>
    </row>
    <row r="1395" spans="1:4" ht="16" thickBot="1" x14ac:dyDescent="0.4">
      <c r="B1395" s="83" t="str">
        <f ca="1">[1]!onepair_E($C$1390)</f>
        <v>(  X Y Z )</v>
      </c>
      <c r="C1395" s="84" t="str">
        <f ca="1">[1]!onepair_E2($C$1390)</f>
        <v>options</v>
      </c>
      <c r="D1395" s="78"/>
    </row>
    <row r="1396" spans="1:4" ht="16" thickTop="1" x14ac:dyDescent="0.35"/>
    <row r="1398" spans="1:4" x14ac:dyDescent="0.35">
      <c r="A1398" s="88" t="s">
        <v>3761</v>
      </c>
    </row>
    <row r="1399" spans="1:4" x14ac:dyDescent="0.35">
      <c r="A1399" s="26">
        <f ca="1">ROUND(A1400*RANDBETWEEN(80,95)/100,2)</f>
        <v>30.45</v>
      </c>
      <c r="B1399" s="2" t="s">
        <v>265</v>
      </c>
    </row>
    <row r="1400" spans="1:4" x14ac:dyDescent="0.35">
      <c r="A1400" s="4">
        <f ca="1">MROUND(RANDBETWEEN(15,60),5)</f>
        <v>35</v>
      </c>
      <c r="B1400" s="2" t="s">
        <v>3264</v>
      </c>
    </row>
    <row r="1401" spans="1:4" x14ac:dyDescent="0.35">
      <c r="A1401" s="26">
        <f ca="1">MROUND(RANDBETWEEN(50,95)/100,0.05)</f>
        <v>0.8</v>
      </c>
      <c r="B1401" s="2" t="s">
        <v>967</v>
      </c>
    </row>
    <row r="1402" spans="1:4" x14ac:dyDescent="0.35">
      <c r="A1402" s="252">
        <f ca="1">MROUND(RANDBETWEEN(5,30)/100,0.05)</f>
        <v>0.1</v>
      </c>
      <c r="B1402" s="2" t="s">
        <v>968</v>
      </c>
    </row>
    <row r="1403" spans="1:4" x14ac:dyDescent="0.35">
      <c r="A1403" s="6" t="s">
        <v>1289</v>
      </c>
      <c r="B1403" s="2" t="s">
        <v>317</v>
      </c>
    </row>
    <row r="1404" spans="1:4" x14ac:dyDescent="0.35">
      <c r="A1404" s="324" t="s">
        <v>665</v>
      </c>
      <c r="B1404" s="2" t="s">
        <v>3759</v>
      </c>
    </row>
    <row r="1405" spans="1:4" ht="16" thickBot="1" x14ac:dyDescent="0.4">
      <c r="A1405" s="4"/>
    </row>
    <row r="1406" spans="1:4" ht="16.5" thickTop="1" thickBot="1" x14ac:dyDescent="0.4">
      <c r="B1406" s="76" t="str">
        <f ca="1">[1]!stdtf_ans($C$1406)</f>
        <v>A</v>
      </c>
      <c r="C1406" s="79" t="str">
        <f ca="1" xml:space="preserve"> "/\" &amp;RANDBETWEEN( 1,2) &amp; "/\" &amp; B1403 &amp; "/\" &amp; B1404</f>
        <v>/\1/\yet the two strategies coexist as trade-offs because for moderate upward price movements the pure-stock strategy outperforms the insurance strategy./\so because the insurance strategy always results in better outcomes the insurance strategy dominates the pure-stock strategy.</v>
      </c>
      <c r="D1406" s="80" t="s">
        <v>3760</v>
      </c>
    </row>
    <row r="1407" spans="1:4" ht="16.5" thickTop="1" thickBot="1" x14ac:dyDescent="0.4">
      <c r="B1407" s="83" t="str">
        <f ca="1">[1]!stdtf_q($C$1406)</f>
        <v>yet the two strategies coexist as trade-offs because for moderate upward price movements the pure-stock strategy outperforms the insurance strategy.</v>
      </c>
      <c r="C1407" s="84"/>
      <c r="D1407" s="78"/>
    </row>
    <row r="1408" spans="1:4" ht="16" thickTop="1" x14ac:dyDescent="0.35"/>
    <row r="1410" spans="1:4" x14ac:dyDescent="0.35">
      <c r="A1410" s="88" t="s">
        <v>2219</v>
      </c>
    </row>
    <row r="1411" spans="1:4" x14ac:dyDescent="0.35">
      <c r="A1411" s="2" t="s">
        <v>2146</v>
      </c>
      <c r="B1411" s="2" t="s">
        <v>1995</v>
      </c>
    </row>
    <row r="1412" spans="1:4" x14ac:dyDescent="0.35">
      <c r="A1412" s="2" t="s">
        <v>2147</v>
      </c>
      <c r="B1412" s="2" t="s">
        <v>306</v>
      </c>
    </row>
    <row r="1413" spans="1:4" x14ac:dyDescent="0.35">
      <c r="A1413" s="2" t="s">
        <v>2148</v>
      </c>
      <c r="B1413" s="2" t="s">
        <v>446</v>
      </c>
    </row>
    <row r="1414" spans="1:4" x14ac:dyDescent="0.35">
      <c r="A1414" s="2" t="s">
        <v>2149</v>
      </c>
      <c r="B1414" s="2" t="s">
        <v>447</v>
      </c>
    </row>
    <row r="1415" spans="1:4" x14ac:dyDescent="0.35">
      <c r="A1415" s="2" t="s">
        <v>2150</v>
      </c>
      <c r="B1415" s="2" t="s">
        <v>2828</v>
      </c>
    </row>
    <row r="1416" spans="1:4" x14ac:dyDescent="0.35">
      <c r="A1416" s="2" t="s">
        <v>2151</v>
      </c>
      <c r="B1416" s="2" t="s">
        <v>2217</v>
      </c>
    </row>
    <row r="1417" spans="1:4" ht="16" thickBot="1" x14ac:dyDescent="0.4"/>
    <row r="1418" spans="1:4" ht="16.5" thickTop="1" thickBot="1" x14ac:dyDescent="0.4">
      <c r="B1418" s="76" t="str">
        <f ca="1">[1]!alpha_ans($C$1418)</f>
        <v>C</v>
      </c>
      <c r="C1418" s="79" t="str">
        <f ca="1" xml:space="preserve"> "/\" &amp;RANDBETWEEN( 1,5) &amp; "/\" &amp;RANDBETWEEN( 1,3) &amp; "/\" &amp;RANDBETWEEN( 1,2) &amp; "/\" &amp;B1411 &amp; "/\" &amp; B1412 &amp; "/\" &amp; B1413 &amp; "/\" &amp; B1414 &amp; "/\" &amp; B1415 &amp; "/\" &amp; B1416</f>
        <v>/\3/\2/\2/\The Bretton Woods System was an agreement among the world’s nations that regulated fixed exchange rates and was abandoned in 1972/\The Bretton Woods System was an agreement among the world’s nations that allowed for floating exchange rates and was established in 1972/\Rising inflation within a country causes their sovereign currency to depreciate relative to other currencies in the foreign exchange market/\Rising inflation within a country causes their sovereign currency to appreciate relative to other currencies in the foreign exchange market/\Rising interest rates within a country causes their sovereign currency to depreciate relative to other currencies in the foreign exchange market/\Rising interest rates within a country causes their sovereign currency to appreciate relative to other currencies in the foreign exchange market</v>
      </c>
      <c r="D1418" s="80" t="s">
        <v>2218</v>
      </c>
    </row>
    <row r="1419" spans="1:4" ht="16" thickTop="1" x14ac:dyDescent="0.35">
      <c r="B1419" s="81" t="str">
        <f ca="1">[1]!complexV_A($C$1418)</f>
        <v>The Bretton Woods System was an agreement among the world’s nations that allowed for floating exchange rates and was established in 1972</v>
      </c>
      <c r="C1419" s="82"/>
      <c r="D1419" s="77"/>
    </row>
    <row r="1420" spans="1:4" x14ac:dyDescent="0.35">
      <c r="B1420" s="81" t="str">
        <f ca="1">[1]!complexV_B($C$1418)</f>
        <v>Rising inflation within a country causes their sovereign currency to appreciate relative to other currencies in the foreign exchange market</v>
      </c>
      <c r="C1420" s="82"/>
      <c r="D1420" s="77"/>
    </row>
    <row r="1421" spans="1:4" x14ac:dyDescent="0.35">
      <c r="B1421" s="81" t="str">
        <f ca="1">[1]!complexV_C($C$1418)</f>
        <v>Rising interest rates within a country causes their sovereign currency to depreciate relative to other currencies in the foreign exchange market</v>
      </c>
      <c r="C1421" s="82"/>
      <c r="D1421" s="77"/>
    </row>
    <row r="1422" spans="1:4" x14ac:dyDescent="0.35">
      <c r="B1422" s="81" t="str">
        <f ca="1">[1]!complexV_D($C$1418)</f>
        <v>Two choices, A and C, are correct</v>
      </c>
      <c r="C1422" s="82"/>
      <c r="D1422" s="77"/>
    </row>
    <row r="1423" spans="1:4" ht="16" thickBot="1" x14ac:dyDescent="0.4">
      <c r="B1423" s="83" t="str">
        <f ca="1">[1]!complexV_E($C$1418)</f>
        <v>None of the A-B-C choices are correct</v>
      </c>
      <c r="C1423" s="84"/>
      <c r="D1423" s="78"/>
    </row>
    <row r="1424" spans="1:4" ht="16" thickTop="1" x14ac:dyDescent="0.35"/>
    <row r="1426" spans="1:4" x14ac:dyDescent="0.35">
      <c r="A1426" s="88" t="s">
        <v>2940</v>
      </c>
    </row>
    <row r="1427" spans="1:4" x14ac:dyDescent="0.35">
      <c r="A1427" s="2" t="s">
        <v>2972</v>
      </c>
      <c r="B1427" s="2" t="s">
        <v>1216</v>
      </c>
    </row>
    <row r="1428" spans="1:4" x14ac:dyDescent="0.35">
      <c r="A1428" s="2" t="s">
        <v>1876</v>
      </c>
      <c r="B1428" s="2" t="str">
        <f ca="1">IF((IF(RANDBETWEEN(0,1)=0,1,-1))&lt;0,"time value","arbitrage value")</f>
        <v>arbitrage value</v>
      </c>
    </row>
    <row r="1429" spans="1:4" ht="16" thickBot="1" x14ac:dyDescent="0.4"/>
    <row r="1430" spans="1:4" ht="16.5" thickTop="1" thickBot="1" x14ac:dyDescent="0.4">
      <c r="B1430" s="76" t="str">
        <f ca="1">[1]!stdtf_ans($C$1430)</f>
        <v>A</v>
      </c>
      <c r="C1430" s="79" t="str">
        <f ca="1" xml:space="preserve"> "/\" &amp;RANDBETWEEN( 1,2) &amp; "/\" &amp; B1427 &amp; "/\" &amp; B1428</f>
        <v>/\1/\transformation value/\arbitrage value</v>
      </c>
      <c r="D1430" s="80" t="s">
        <v>1217</v>
      </c>
    </row>
    <row r="1431" spans="1:4" ht="16.5" thickTop="1" thickBot="1" x14ac:dyDescent="0.4">
      <c r="B1431" s="83" t="str">
        <f ca="1">[1]!stdtf_q($C$1430)</f>
        <v>transformation value</v>
      </c>
      <c r="C1431" s="84"/>
      <c r="D1431" s="78"/>
    </row>
    <row r="1432" spans="1:4" ht="16" thickTop="1" x14ac:dyDescent="0.35"/>
    <row r="1434" spans="1:4" x14ac:dyDescent="0.35">
      <c r="A1434" s="88" t="s">
        <v>2936</v>
      </c>
    </row>
    <row r="1435" spans="1:4" x14ac:dyDescent="0.35">
      <c r="A1435" s="2" t="s">
        <v>30</v>
      </c>
      <c r="B1435" s="2" t="str">
        <f ca="1">CHOOSE(RANDBETWEEN(1,2),"The EAR generally is bigger than the APR.","The APR generally is smaller than the EAR.")</f>
        <v>The EAR generally is bigger than the APR.</v>
      </c>
    </row>
    <row r="1436" spans="1:4" x14ac:dyDescent="0.35">
      <c r="A1436" s="2" t="s">
        <v>1105</v>
      </c>
      <c r="B1436" s="2" t="str">
        <f ca="1">CHOOSE(RANDBETWEEN(1,2),"The EAR generally is smaller than the APR.","The APR generally is bigger than the EAR.")</f>
        <v>The EAR generally is smaller than the APR.</v>
      </c>
    </row>
    <row r="1437" spans="1:4" x14ac:dyDescent="0.35">
      <c r="A1437" s="2" t="s">
        <v>1573</v>
      </c>
      <c r="B1437" s="2" t="s">
        <v>2213</v>
      </c>
    </row>
    <row r="1438" spans="1:4" x14ac:dyDescent="0.35">
      <c r="A1438" s="2" t="s">
        <v>1607</v>
      </c>
      <c r="B1438" s="2" t="s">
        <v>2214</v>
      </c>
    </row>
    <row r="1439" spans="1:4" x14ac:dyDescent="0.35">
      <c r="A1439" s="2" t="s">
        <v>2352</v>
      </c>
      <c r="B1439" s="2" t="s">
        <v>2215</v>
      </c>
    </row>
    <row r="1440" spans="1:4" x14ac:dyDescent="0.35">
      <c r="A1440" s="2" t="s">
        <v>3406</v>
      </c>
      <c r="B1440" s="2" t="s">
        <v>2216</v>
      </c>
    </row>
    <row r="1441" spans="1:4" ht="16" thickBot="1" x14ac:dyDescent="0.4"/>
    <row r="1442" spans="1:4" ht="16.5" thickTop="1" thickBot="1" x14ac:dyDescent="0.4">
      <c r="B1442" s="76" t="str">
        <f ca="1">[1]!alpha_ans($C$1442)</f>
        <v>A</v>
      </c>
      <c r="C1442" s="79" t="str">
        <f ca="1" xml:space="preserve"> "/\" &amp;RANDBETWEEN( 1,5) &amp; "/\" &amp;RANDBETWEEN( 1,3) &amp; "/\" &amp;RANDBETWEEN( 1,2) &amp; "/\" &amp;B1435 &amp; "/\" &amp; B1436 &amp; "/\" &amp; B1437 &amp; "/\" &amp; B1438 &amp; "/\" &amp; B1439 &amp; "/\" &amp; B1440</f>
        <v>/\1/\1/\2/\The EAR generally is bigger than the APR./\The EAR generally is smaller than the APR./\When banks advertise for loans they likely quote the APR./\When banks advertise for loans they likely quote the EAR./\When banks advertise for deposits they likely quote the EAR./\When banks advertise for deposits they likely quote the APR.</v>
      </c>
      <c r="D1442" s="80" t="s">
        <v>340</v>
      </c>
    </row>
    <row r="1443" spans="1:4" ht="16" thickTop="1" x14ac:dyDescent="0.35">
      <c r="B1443" s="81" t="str">
        <f ca="1">[1]!complexV_A($C$1442)</f>
        <v>The EAR generally is bigger than the APR.</v>
      </c>
      <c r="C1443" s="82"/>
      <c r="D1443" s="77"/>
    </row>
    <row r="1444" spans="1:4" x14ac:dyDescent="0.35">
      <c r="B1444" s="81" t="str">
        <f ca="1">[1]!complexV_B($C$1442)</f>
        <v>When banks advertise for loans they likely quote the EAR.</v>
      </c>
      <c r="C1444" s="82"/>
      <c r="D1444" s="77"/>
    </row>
    <row r="1445" spans="1:4" x14ac:dyDescent="0.35">
      <c r="B1445" s="81" t="str">
        <f ca="1">[1]!complexV_C($C$1442)</f>
        <v>When banks advertise for deposits they likely quote the APR.</v>
      </c>
      <c r="C1445" s="82"/>
      <c r="D1445" s="77"/>
    </row>
    <row r="1446" spans="1:4" x14ac:dyDescent="0.35">
      <c r="B1446" s="81" t="str">
        <f ca="1">[1]!complexV_D($C$1442)</f>
        <v>Two choices, A and B, are correct</v>
      </c>
      <c r="C1446" s="82"/>
      <c r="D1446" s="77"/>
    </row>
    <row r="1447" spans="1:4" ht="16" thickBot="1" x14ac:dyDescent="0.4">
      <c r="B1447" s="83" t="str">
        <f ca="1">[1]!complexV_E($C$1442)</f>
        <v>None of the A-B-C choices are correct</v>
      </c>
      <c r="C1447" s="84"/>
      <c r="D1447" s="78"/>
    </row>
    <row r="1448" spans="1:4" ht="16" thickTop="1" x14ac:dyDescent="0.35"/>
    <row r="1450" spans="1:4" x14ac:dyDescent="0.35">
      <c r="A1450" s="88" t="s">
        <v>55</v>
      </c>
    </row>
    <row r="1451" spans="1:4" x14ac:dyDescent="0.35">
      <c r="A1451" s="2" t="s">
        <v>30</v>
      </c>
      <c r="B1451" s="2" t="str">
        <f ca="1">CHOOSE(RANDBETWEEN(1,2),"The allocation in X increases as the risk of Y increases.","The allocation in X decreases as the risk of Y decreases.")</f>
        <v>The allocation in X decreases as the risk of Y decreases.</v>
      </c>
    </row>
    <row r="1452" spans="1:4" x14ac:dyDescent="0.35">
      <c r="A1452" s="2" t="s">
        <v>1105</v>
      </c>
      <c r="B1452" s="2" t="str">
        <f ca="1">CHOOSE(RANDBETWEEN(1,2),"The allocation in X increases as the risk of Y decreases.","The allocation in X decreases as the risk of Y increases.")</f>
        <v>The allocation in X decreases as the risk of Y increases.</v>
      </c>
    </row>
    <row r="1453" spans="1:4" x14ac:dyDescent="0.35">
      <c r="A1453" s="2" t="s">
        <v>1573</v>
      </c>
      <c r="B1453" s="2" t="s">
        <v>1265</v>
      </c>
    </row>
    <row r="1454" spans="1:4" x14ac:dyDescent="0.35">
      <c r="A1454" s="2" t="s">
        <v>1607</v>
      </c>
      <c r="B1454" s="2" t="s">
        <v>1266</v>
      </c>
    </row>
    <row r="1455" spans="1:4" x14ac:dyDescent="0.35">
      <c r="A1455" s="2" t="s">
        <v>2352</v>
      </c>
      <c r="B1455" s="2" t="str">
        <f ca="1">CHOOSE(RANDBETWEEN(1,2),"When the correlation equals zero then the allocation to X equals the ratio of Y’s variance to the sum of variances.","When the securities have equal risk then the allocations to X and Y both equal fifty percent.")</f>
        <v>When the correlation equals zero then the allocation to X equals the ratio of Y’s variance to the sum of variances.</v>
      </c>
    </row>
    <row r="1456" spans="1:4" x14ac:dyDescent="0.35">
      <c r="A1456" s="2" t="s">
        <v>3406</v>
      </c>
      <c r="B1456" s="2" t="str">
        <f ca="1">CHOOSE(RANDBETWEEN(1,2),"When the correlation equals zero then the allocations to X and Y both equal fifty percent.","When the securities have equal risk then the allocation to X equals the ratio of Y’s variance to the sum of variances.")</f>
        <v>When the securities have equal risk then the allocation to X equals the ratio of Y’s variance to the sum of variances.</v>
      </c>
    </row>
    <row r="1457" spans="1:4" ht="16" thickBot="1" x14ac:dyDescent="0.4"/>
    <row r="1458" spans="1:4" ht="16.5" thickTop="1" thickBot="1" x14ac:dyDescent="0.4">
      <c r="B1458" s="76" t="str">
        <f ca="1">[1]!alpha_ans($C$1458)</f>
        <v>C</v>
      </c>
      <c r="C1458" s="79" t="str">
        <f ca="1" xml:space="preserve"> "/\" &amp;RANDBETWEEN( 1,5) &amp; "/\" &amp;RANDBETWEEN( 1,3) &amp; "/\" &amp;RANDBETWEEN( 1,2) &amp; "/\" &amp;B1451 &amp; "/\" &amp; B1452 &amp; "/\" &amp; B1453 &amp; "/\" &amp; B1454 &amp; "/\" &amp; B1455 &amp; "/\" &amp; B1456</f>
        <v>/\3/\2/\2/\The allocation in X decreases as the risk of Y decreases./\The allocation in X decreases as the risk of Y increases./\The covariance equals the product of ρ times σ(X) times σ(Y) and always the signs of covariance and ρ are identical./\The covariance equals ρ times σ(X) times σ(Y) and always the sign of covariance is opposite the sign of ρ./\When the correlation equals zero then the allocation to X equals the ratio of Y’s variance to the sum of variances./\When the securities have equal risk then the allocation to X equals the ratio of Y’s variance to the sum of variances.</v>
      </c>
      <c r="D1458" s="80" t="s">
        <v>56</v>
      </c>
    </row>
    <row r="1459" spans="1:4" ht="16" thickTop="1" x14ac:dyDescent="0.35">
      <c r="B1459" s="81" t="str">
        <f ca="1">[1]!complexV_A($C$1458)</f>
        <v>The allocation in X decreases as the risk of Y increases.</v>
      </c>
      <c r="C1459" s="82"/>
      <c r="D1459" s="77"/>
    </row>
    <row r="1460" spans="1:4" x14ac:dyDescent="0.35">
      <c r="B1460" s="81" t="str">
        <f ca="1">[1]!complexV_B($C$1458)</f>
        <v>The covariance equals ρ times σ(X) times σ(Y) and always the sign of covariance is opposite the sign of ρ.</v>
      </c>
      <c r="C1460" s="82"/>
      <c r="D1460" s="77"/>
    </row>
    <row r="1461" spans="1:4" x14ac:dyDescent="0.35">
      <c r="B1461" s="81" t="str">
        <f ca="1">[1]!complexV_C($C$1458)</f>
        <v>When the correlation equals zero then the allocation to X equals the ratio of Y’s variance to the sum of variances.</v>
      </c>
      <c r="C1461" s="82"/>
      <c r="D1461" s="77"/>
    </row>
    <row r="1462" spans="1:4" x14ac:dyDescent="0.35">
      <c r="B1462" s="81" t="str">
        <f ca="1">[1]!complexV_D($C$1458)</f>
        <v>Two choices, A and C, are correct</v>
      </c>
      <c r="C1462" s="82"/>
      <c r="D1462" s="77"/>
    </row>
    <row r="1463" spans="1:4" ht="16" thickBot="1" x14ac:dyDescent="0.4">
      <c r="B1463" s="83" t="str">
        <f ca="1">[1]!complexV_E($C$1458)</f>
        <v>None of the A-B-C choices are correct</v>
      </c>
      <c r="C1463" s="84"/>
      <c r="D1463" s="78"/>
    </row>
    <row r="1464" spans="1:4" ht="16" thickTop="1" x14ac:dyDescent="0.35"/>
    <row r="1466" spans="1:4" x14ac:dyDescent="0.35">
      <c r="A1466" s="88" t="s">
        <v>3239</v>
      </c>
    </row>
    <row r="1467" spans="1:4" x14ac:dyDescent="0.35">
      <c r="A1467" s="2" t="s">
        <v>30</v>
      </c>
      <c r="B1467" s="2" t="str">
        <f ca="1">CHOOSE(RANDBETWEEN(1,2),"When security liquidity increases then the liquidity risk premium diminishes.","When security liquidity decreases then the liquidity risk premium increases.")</f>
        <v>When security liquidity increases then the liquidity risk premium diminishes.</v>
      </c>
    </row>
    <row r="1468" spans="1:4" x14ac:dyDescent="0.35">
      <c r="A1468" s="2" t="s">
        <v>1105</v>
      </c>
      <c r="B1468" s="2" t="str">
        <f ca="1">CHOOSE(RANDBETWEEN(1,2),"When security liquidity decreases then the liquidity risk premium diminishes.","When security liquidity increases then the liquidity risk premium increases.")</f>
        <v>When security liquidity decreases then the liquidity risk premium diminishes.</v>
      </c>
    </row>
    <row r="1469" spans="1:4" x14ac:dyDescent="0.35">
      <c r="A1469" s="2" t="s">
        <v>1573</v>
      </c>
      <c r="B1469" s="2" t="str">
        <f ca="1">CHOOSE(RANDBETWEEN(1,2),"When the timing of expected cash flows tilt toward the remote future then the term risk premium increases.","When the timing of expected cash flows tilt toward the near-term then the term risk premium decreases.")</f>
        <v>When the timing of expected cash flows tilt toward the remote future then the term risk premium increases.</v>
      </c>
    </row>
    <row r="1470" spans="1:4" x14ac:dyDescent="0.35">
      <c r="A1470" s="2" t="s">
        <v>1607</v>
      </c>
      <c r="B1470" s="2" t="str">
        <f ca="1">CHOOSE(RANDBETWEEN(1,2),"When the timing of expected cash flows tilt toward the remote future then the term risk premium decreases.","When the timing of expected cash flows tilt toward the near-term then the term risk premium increases.")</f>
        <v>When the timing of expected cash flows tilt toward the near-term then the term risk premium increases.</v>
      </c>
    </row>
    <row r="1471" spans="1:4" x14ac:dyDescent="0.35">
      <c r="A1471" s="2" t="s">
        <v>2352</v>
      </c>
      <c r="B1471" s="2" t="str">
        <f ca="1">CHOOSE(RANDBETWEEN(1,2),"When the likelihood of default by the issuer increases then the default risk premium gets bigger.","When the likelihood of default by the issuer decreases then the default risk premium gets smaller.")</f>
        <v>When the likelihood of default by the issuer increases then the default risk premium gets bigger.</v>
      </c>
    </row>
    <row r="1472" spans="1:4" x14ac:dyDescent="0.35">
      <c r="A1472" s="2" t="s">
        <v>3406</v>
      </c>
      <c r="B1472" s="2" t="str">
        <f ca="1">CHOOSE(RANDBETWEEN(1,2),"When the likelihood of default by the issuer decreases then the default risk premium gets bigger.","When the likelihood of default by the issuer increases then the default risk premium gets smaller.")</f>
        <v>When the likelihood of default by the issuer increases then the default risk premium gets smaller.</v>
      </c>
    </row>
    <row r="1473" spans="1:4" ht="16" thickBot="1" x14ac:dyDescent="0.4"/>
    <row r="1474" spans="1:4" ht="16.5" thickTop="1" thickBot="1" x14ac:dyDescent="0.4">
      <c r="B1474" s="76" t="str">
        <f ca="1">[1]!alpha_ans($C$1474)</f>
        <v>E</v>
      </c>
      <c r="C1474" s="79" t="str">
        <f ca="1" xml:space="preserve"> "/\" &amp;RANDBETWEEN( 1,5) &amp; "/\" &amp;RANDBETWEEN( 1,3) &amp; "/\" &amp;RANDBETWEEN( 1,2) &amp; "/\" &amp;B1467 &amp; "/\" &amp; B1468 &amp; "/\" &amp; B1469 &amp; "/\" &amp; B1470 &amp; "/\" &amp; B1471 &amp; "/\" &amp; B1472</f>
        <v>/\5/\2/\1/\When security liquidity increases then the liquidity risk premium diminishes./\When security liquidity decreases then the liquidity risk premium diminishes./\When the timing of expected cash flows tilt toward the remote future then the term risk premium increases./\When the timing of expected cash flows tilt toward the near-term then the term risk premium increases./\When the likelihood of default by the issuer increases then the default risk premium gets bigger./\When the likelihood of default by the issuer increases then the default risk premium gets smaller.</v>
      </c>
      <c r="D1474" s="80" t="s">
        <v>3238</v>
      </c>
    </row>
    <row r="1475" spans="1:4" ht="16" thickTop="1" x14ac:dyDescent="0.35">
      <c r="B1475" s="81" t="str">
        <f ca="1">[1]!complexV_A($C$1474)</f>
        <v>When security liquidity increases then the liquidity risk premium diminishes.</v>
      </c>
      <c r="C1475" s="82"/>
      <c r="D1475" s="77"/>
    </row>
    <row r="1476" spans="1:4" x14ac:dyDescent="0.35">
      <c r="B1476" s="81" t="str">
        <f ca="1">[1]!complexV_B($C$1474)</f>
        <v>When the timing of expected cash flows tilt toward the remote future then the term risk premium increases.</v>
      </c>
      <c r="C1476" s="82"/>
      <c r="D1476" s="77"/>
    </row>
    <row r="1477" spans="1:4" x14ac:dyDescent="0.35">
      <c r="B1477" s="81" t="str">
        <f ca="1">[1]!complexV_C($C$1474)</f>
        <v>When the likelihood of default by the issuer increases then the default risk premium gets bigger.</v>
      </c>
      <c r="C1477" s="82"/>
      <c r="D1477" s="77"/>
    </row>
    <row r="1478" spans="1:4" x14ac:dyDescent="0.35">
      <c r="B1478" s="81" t="str">
        <f ca="1">[1]!complexV_D($C$1474)</f>
        <v>Two choices, A and C, are correct</v>
      </c>
      <c r="C1478" s="82"/>
      <c r="D1478" s="77"/>
    </row>
    <row r="1479" spans="1:4" ht="16" thickBot="1" x14ac:dyDescent="0.4">
      <c r="B1479" s="83" t="str">
        <f ca="1">[1]!complexV_E($C$1474)</f>
        <v>The three A-B-C choices are all correct</v>
      </c>
      <c r="C1479" s="84"/>
      <c r="D1479" s="78"/>
    </row>
    <row r="1480" spans="1:4" ht="16" thickTop="1" x14ac:dyDescent="0.35"/>
    <row r="1481" spans="1:4" x14ac:dyDescent="0.35">
      <c r="A1481" s="88" t="s">
        <v>1711</v>
      </c>
    </row>
    <row r="1482" spans="1:4" ht="16" thickBot="1" x14ac:dyDescent="0.4"/>
    <row r="1483" spans="1:4" ht="16.5" thickTop="1" thickBot="1" x14ac:dyDescent="0.4">
      <c r="B1483" s="76" t="str">
        <f ca="1">[1]!alpha_ans($C$1483)</f>
        <v>D</v>
      </c>
      <c r="C1483" s="79" t="str">
        <f ca="1" xml:space="preserve"> "/\" &amp;RANDBETWEEN( 1,5) &amp; "/\" &amp;RANDBETWEEN( 1,3) &amp; "/\" &amp;RANDBETWEEN( 1,2) &amp; "/\" &amp;"The Office of the Controller typically administers the accounting functions of the firm." &amp; "/\" &amp; "The Office of the Controller typically administers the finance functions of the firm." &amp; "/\" &amp; "The Office of the Treasurer typically administers the finance functions of the firm." &amp; "/\" &amp; "The Office of the Treasurer typically administers the accounting functions of the firm." &amp; "/\" &amp; "Besides the CEO, there are in a typical large corporation many senior management positions (e.g., Marketing Chief; Head General Counsel, CFO) and no single-one can really be called most important." &amp; "/\" &amp; "Besides the CEO, the next single-most important member of the senior management team is the CFO."</f>
        <v>/\4/\1/\1/\The Office of the Controller typically administers the accounting functions of the firm./\The Office of the Controller typically administers the finance functions of the firm./\The Office of the Treasurer typically administers the finance functions of the firm./\The Office of the Treasurer typically administers the accounting functions of the firm./\Besides the CEO, there are in a typical large corporation many senior management positions (e.g., Marketing Chief; Head General Counsel, CFO) and no single-one can really be called most important./\Besides the CEO, the next single-most important member of the senior management team is the CFO.</v>
      </c>
      <c r="D1483" s="80" t="s">
        <v>1710</v>
      </c>
    </row>
    <row r="1484" spans="1:4" ht="16" thickTop="1" x14ac:dyDescent="0.35">
      <c r="B1484" s="81" t="str">
        <f ca="1">[1]!complexV_A($C$1483)</f>
        <v>The Office of the Controller typically administers the accounting functions of the firm.</v>
      </c>
      <c r="C1484" s="82"/>
      <c r="D1484" s="77"/>
    </row>
    <row r="1485" spans="1:4" x14ac:dyDescent="0.35">
      <c r="B1485" s="81" t="str">
        <f ca="1">[1]!complexV_B($C$1483)</f>
        <v>The Office of the Treasurer typically administers the finance functions of the firm.</v>
      </c>
      <c r="C1485" s="82"/>
      <c r="D1485" s="77"/>
    </row>
    <row r="1486" spans="1:4" x14ac:dyDescent="0.35">
      <c r="B1486" s="81" t="str">
        <f ca="1">[1]!complexV_C($C$1483)</f>
        <v>Besides the CEO, the next single-most important member of the senior management team is the CFO.</v>
      </c>
      <c r="C1486" s="82"/>
      <c r="D1486" s="77"/>
    </row>
    <row r="1487" spans="1:4" x14ac:dyDescent="0.35">
      <c r="B1487" s="81" t="str">
        <f ca="1">[1]!complexV_D($C$1483)</f>
        <v>Two choices, A and B, are correct</v>
      </c>
      <c r="C1487" s="82"/>
      <c r="D1487" s="77"/>
    </row>
    <row r="1488" spans="1:4" ht="16" thickBot="1" x14ac:dyDescent="0.4">
      <c r="B1488" s="83" t="str">
        <f ca="1">[1]!complexV_E($C$1483)</f>
        <v>The three A-B-C choices are all correct</v>
      </c>
      <c r="C1488" s="84"/>
      <c r="D1488" s="78"/>
    </row>
    <row r="1489" spans="1:4" ht="16" thickTop="1" x14ac:dyDescent="0.35"/>
    <row r="1491" spans="1:4" x14ac:dyDescent="0.35">
      <c r="A1491" s="88" t="s">
        <v>3303</v>
      </c>
    </row>
    <row r="1492" spans="1:4" x14ac:dyDescent="0.35">
      <c r="A1492" s="6" t="s">
        <v>3304</v>
      </c>
      <c r="B1492" s="2" t="s">
        <v>3306</v>
      </c>
    </row>
    <row r="1493" spans="1:4" x14ac:dyDescent="0.35">
      <c r="A1493" s="6" t="s">
        <v>3305</v>
      </c>
      <c r="B1493" s="2" t="str">
        <f ca="1">IF(flag1=1,"Selling some of your low-risk security and buying a high-risk security never reduces total portfolio risk (standard deviation of returns).","Selling some of your low-risk security and buying a high-risk security always increases total portfolio risk (standard deviation).")</f>
        <v>Selling some of your low-risk security and buying a high-risk security never reduces total portfolio risk (standard deviation of returns).</v>
      </c>
    </row>
    <row r="1494" spans="1:4" ht="16" thickBot="1" x14ac:dyDescent="0.4"/>
    <row r="1495" spans="1:4" ht="16.5" thickTop="1" thickBot="1" x14ac:dyDescent="0.4">
      <c r="B1495" s="76" t="str">
        <f ca="1">[1]!stdtf_ans($C$1495)</f>
        <v>B</v>
      </c>
      <c r="C1495" s="79" t="str">
        <f ca="1" xml:space="preserve"> "/\" &amp;RANDBETWEEN( 1,2) &amp; "/\" &amp; B1492 &amp; "/\" &amp; B1493</f>
        <v>/\2/\Selling some of your low-risk security and buying a high-risk security may sometimes increase total portfolio risk (standard deviation)./\Selling some of your low-risk security and buying a high-risk security never reduces total portfolio risk (standard deviation of returns).</v>
      </c>
      <c r="D1495" s="80" t="s">
        <v>2707</v>
      </c>
    </row>
    <row r="1496" spans="1:4" ht="16.5" thickTop="1" thickBot="1" x14ac:dyDescent="0.4">
      <c r="B1496" s="83" t="str">
        <f ca="1">[1]!stdtf_q($C$1495)</f>
        <v>Selling some of your low-risk security and buying a high-risk security never reduces total portfolio risk (standard deviation of returns).</v>
      </c>
      <c r="C1496" s="84"/>
      <c r="D1496" s="78"/>
    </row>
    <row r="1497" spans="1:4" ht="16" thickTop="1" x14ac:dyDescent="0.35"/>
    <row r="1499" spans="1:4" x14ac:dyDescent="0.35">
      <c r="A1499" s="88" t="s">
        <v>2759</v>
      </c>
    </row>
    <row r="1500" spans="1:4" x14ac:dyDescent="0.35">
      <c r="A1500" s="2">
        <f ca="1">RANDBETWEEN(1,2)</f>
        <v>1</v>
      </c>
      <c r="B1500" s="2" t="s">
        <v>2755</v>
      </c>
    </row>
    <row r="1501" spans="1:4" x14ac:dyDescent="0.35">
      <c r="A1501" s="2" t="str">
        <f ca="1">CHOOSE(A1500,"monthly","quarterly")</f>
        <v>monthly</v>
      </c>
      <c r="C1501" s="6" t="s">
        <v>2756</v>
      </c>
      <c r="D1501" s="2" t="str">
        <f ca="1">"A " &amp; A1501 &amp; " cash budget can determine whether the company expects a surplus or deficit for the entire " &amp; A1502 &amp; " but is incapable of determining external financing needs during any particular " &amp; A1503 &amp;"."</f>
        <v>A monthly cash budget can determine whether the company expects a surplus or deficit for the entire month but is incapable of determining external financing needs during any particular week.</v>
      </c>
    </row>
    <row r="1502" spans="1:4" x14ac:dyDescent="0.35">
      <c r="A1502" s="2" t="str">
        <f ca="1">CHOOSE(A1500,"month","quarter")</f>
        <v>month</v>
      </c>
      <c r="C1502" s="6" t="s">
        <v>2757</v>
      </c>
      <c r="D1502" s="2" t="str">
        <f ca="1">"A "&amp;A1501&amp;" cash budget can determine whether the company expects a surplus or deficit during any particular "&amp;A1503&amp;" but is incapable of determining external financing needs for the entire "&amp;A1502&amp;"."</f>
        <v>A monthly cash budget can determine whether the company expects a surplus or deficit during any particular week but is incapable of determining external financing needs for the entire month.</v>
      </c>
    </row>
    <row r="1503" spans="1:4" ht="16" thickBot="1" x14ac:dyDescent="0.4">
      <c r="A1503" s="2" t="str">
        <f ca="1">CHOOSE(A1500,"week","month")</f>
        <v>week</v>
      </c>
    </row>
    <row r="1504" spans="1:4" ht="16.5" thickTop="1" thickBot="1" x14ac:dyDescent="0.4">
      <c r="B1504" s="76" t="str">
        <f ca="1">[1]!stdtf_ans($C$1504)</f>
        <v>A</v>
      </c>
      <c r="C1504" s="79" t="str">
        <f ca="1" xml:space="preserve"> "/\" &amp;RANDBETWEEN( 1,2) &amp; "/\" &amp; D1501 &amp; "/\" &amp; D1502</f>
        <v>/\1/\A monthly cash budget can determine whether the company expects a surplus or deficit for the entire month but is incapable of determining external financing needs during any particular week./\A monthly cash budget can determine whether the company expects a surplus or deficit during any particular week but is incapable of determining external financing needs for the entire month.</v>
      </c>
      <c r="D1504" s="80" t="s">
        <v>2758</v>
      </c>
    </row>
    <row r="1505" spans="1:4" ht="16.5" thickTop="1" thickBot="1" x14ac:dyDescent="0.4">
      <c r="B1505" s="83" t="str">
        <f ca="1">[1]!stdtf_q($C$1504)</f>
        <v>A monthly cash budget can determine whether the company expects a surplus or deficit for the entire month but is incapable of determining external financing needs during any particular week.</v>
      </c>
      <c r="C1505" s="84"/>
      <c r="D1505" s="78"/>
    </row>
    <row r="1506" spans="1:4" ht="16" thickTop="1" x14ac:dyDescent="0.35"/>
    <row r="1508" spans="1:4" x14ac:dyDescent="0.35">
      <c r="A1508" s="88" t="s">
        <v>2246</v>
      </c>
    </row>
    <row r="1509" spans="1:4" x14ac:dyDescent="0.35">
      <c r="A1509" s="6" t="s">
        <v>2756</v>
      </c>
      <c r="B1509" s="2" t="s">
        <v>2247</v>
      </c>
    </row>
    <row r="1510" spans="1:4" x14ac:dyDescent="0.35">
      <c r="A1510" s="6" t="s">
        <v>2757</v>
      </c>
      <c r="B1510" s="2" t="str">
        <f ca="1">IF((IF(RANDBETWEEN(0,1)=0,1,-1))=1,"The supply schedule for primary market securities is very steep (inelastic) and means that a small change in equilibrium price associates with a small change in equilibrium quantity.","The demand schedule for primary market securities is very flat (elastic) and means that a small change in equilibrium price associates with an extreme change in equilibrium quantity.")</f>
        <v>The supply schedule for primary market securities is very steep (inelastic) and means that a small change in equilibrium price associates with a small change in equilibrium quantity.</v>
      </c>
    </row>
    <row r="1511" spans="1:4" ht="16" thickBot="1" x14ac:dyDescent="0.4"/>
    <row r="1512" spans="1:4" ht="16.5" thickTop="1" thickBot="1" x14ac:dyDescent="0.4">
      <c r="B1512" s="76" t="str">
        <f ca="1">[1]!stdtf_ans($C$1512)</f>
        <v>A</v>
      </c>
      <c r="C1512" s="79" t="str">
        <f ca="1" xml:space="preserve"> "/\" &amp;RANDBETWEEN( 1,2) &amp; "/\" &amp; B1509 &amp; "/\" &amp; B1510</f>
        <v>/\1/\The supply schedule for primary market securities is very flat (elastic) and means that a small change in equilibrium price associates with an extreme change in equilibrium quantity./\The supply schedule for primary market securities is very steep (inelastic) and means that a small change in equilibrium price associates with a small change in equilibrium quantity.</v>
      </c>
      <c r="D1512" s="80" t="s">
        <v>2248</v>
      </c>
    </row>
    <row r="1513" spans="1:4" ht="16.5" thickTop="1" thickBot="1" x14ac:dyDescent="0.4">
      <c r="B1513" s="83" t="str">
        <f ca="1">[1]!stdtf_q($C$1512)</f>
        <v>The supply schedule for primary market securities is very flat (elastic) and means that a small change in equilibrium price associates with an extreme change in equilibrium quantity.</v>
      </c>
      <c r="C1513" s="84"/>
      <c r="D1513" s="78"/>
    </row>
    <row r="1514" spans="1:4" ht="16" thickTop="1" x14ac:dyDescent="0.35"/>
    <row r="1516" spans="1:4" x14ac:dyDescent="0.35">
      <c r="A1516" s="88" t="s">
        <v>456</v>
      </c>
    </row>
    <row r="1517" spans="1:4" x14ac:dyDescent="0.35">
      <c r="A1517" s="6" t="s">
        <v>30</v>
      </c>
      <c r="B1517" s="2" t="str">
        <f ca="1">CHOOSE(RANDBETWEEN(1,2),"Total lifetime interest definitely is more with a 30-year loan but that doesn’t mean it is a worse choice.","Total lifetime interest definitely is less with a 15-year loan but that doesn’t mean it is a better choice.")</f>
        <v>Total lifetime interest definitely is less with a 15-year loan but that doesn’t mean it is a better choice.</v>
      </c>
    </row>
    <row r="1518" spans="1:4" x14ac:dyDescent="0.35">
      <c r="A1518" s="6" t="s">
        <v>1105</v>
      </c>
      <c r="B1518" s="2" t="str">
        <f ca="1">CHOOSE(RANDBETWEEN(1,2),"Total lifetime interest definitely is more with a 30-year loan so therefore it is a worse choice.","Total lifetime interest definitely is less with a 15-year loan so therefore it is a better choice.")</f>
        <v>Total lifetime interest definitely is less with a 15-year loan so therefore it is a better choice.</v>
      </c>
    </row>
    <row r="1519" spans="1:4" x14ac:dyDescent="0.35">
      <c r="A1519" s="6" t="s">
        <v>1573</v>
      </c>
      <c r="B1519" s="2" t="s">
        <v>125</v>
      </c>
    </row>
    <row r="1520" spans="1:4" x14ac:dyDescent="0.35">
      <c r="A1520" s="6" t="s">
        <v>1607</v>
      </c>
      <c r="B1520" s="2" t="s">
        <v>126</v>
      </c>
    </row>
    <row r="1521" spans="1:4" x14ac:dyDescent="0.35">
      <c r="A1521" s="6" t="s">
        <v>2352</v>
      </c>
      <c r="B1521" s="2" t="str">
        <f ca="1">CHOOSE(RANDBETWEEN(1,2),"When the household expects that in the short-run their uses for money will have low utility but that in the long-run their uses for money will have higher utility then borrowing with a 15-year loan may be advantageous.","When the household expects that in the short-run their uses for money will have high utility but that in the long-run their uses for money will have lower utility then borrowing with a 30-year loan may be advantageous.")</f>
        <v>When the household expects that in the short-run their uses for money will have low utility but that in the long-run their uses for money will have higher utility then borrowing with a 15-year loan may be advantageous.</v>
      </c>
    </row>
    <row r="1522" spans="1:4" x14ac:dyDescent="0.35">
      <c r="A1522" s="6" t="s">
        <v>3406</v>
      </c>
      <c r="B1522" s="2" t="str">
        <f ca="1">CHOOSE(RANDBETWEEN(1,2),"When the household expects that in the short-run their uses for money will have low utility but that in the long-run their uses for money will have higher utility then borrowing with a 30-year loan may be advantageous.","When the household expects that in the short-run their uses for money will have high utility but that in the long-run their uses for money will have lower utility then borrowing with a 15-year loan may be advantageous.")</f>
        <v>When the household expects that in the short-run their uses for money will have low utility but that in the long-run their uses for money will have higher utility then borrowing with a 30-year loan may be advantageous.</v>
      </c>
    </row>
    <row r="1523" spans="1:4" ht="16" thickBot="1" x14ac:dyDescent="0.4"/>
    <row r="1524" spans="1:4" ht="16.5" thickTop="1" thickBot="1" x14ac:dyDescent="0.4">
      <c r="B1524" s="76" t="str">
        <f ca="1">[1]!alpha_ans($C$1524)</f>
        <v>B</v>
      </c>
      <c r="C1524" s="79" t="str">
        <f ca="1" xml:space="preserve"> "/\" &amp;RANDBETWEEN( 1,5) &amp; "/\" &amp;RANDBETWEEN( 1,3) &amp; "/\" &amp;RANDBETWEEN( 1,2) &amp; "/\" &amp;B1517 &amp; "/\" &amp; B1518 &amp; "/\" &amp; B1519 &amp; "/\" &amp; B1520 &amp; "/\" &amp; B1521 &amp; "/\" &amp; B1522</f>
        <v>/\2/\3/\2/\Total lifetime interest definitely is less with a 15-year loan but that doesn’t mean it is a better choice./\Total lifetime interest definitely is less with a 15-year loan so therefore it is a better choice./\When the household expects short-run liquidity problems as their careers commence but for the long-run they expect high income growth then borrowing with a 30-year loan may be advantageous./\When the household expects liquidity problems in the short-run as their careers commence but for the long-run they expect high income growth then borrowing with a 15-year loan may be advantageous./\When the household expects that in the short-run their uses for money will have low utility but that in the long-run their uses for money will have higher utility then borrowing with a 15-year loan may be advantageous./\When the household expects that in the short-run their uses for money will have low utility but that in the long-run their uses for money will have higher utility then borrowing with a 30-year loan may be advantageous.</v>
      </c>
      <c r="D1524" s="80" t="s">
        <v>127</v>
      </c>
    </row>
    <row r="1525" spans="1:4" ht="16" thickTop="1" x14ac:dyDescent="0.35">
      <c r="B1525" s="81" t="str">
        <f ca="1">[1]!complexV_A($C$1524)</f>
        <v>Total lifetime interest definitely is less with a 15-year loan so therefore it is a better choice.</v>
      </c>
      <c r="C1525" s="82"/>
      <c r="D1525" s="77"/>
    </row>
    <row r="1526" spans="1:4" x14ac:dyDescent="0.35">
      <c r="B1526" s="81" t="str">
        <f ca="1">[1]!complexV_B($C$1524)</f>
        <v>When the household expects short-run liquidity problems as their careers commence but for the long-run they expect high income growth then borrowing with a 30-year loan may be advantageous.</v>
      </c>
      <c r="C1526" s="82"/>
      <c r="D1526" s="77"/>
    </row>
    <row r="1527" spans="1:4" x14ac:dyDescent="0.35">
      <c r="B1527" s="81" t="str">
        <f ca="1">[1]!complexV_C($C$1524)</f>
        <v>When the household expects that in the short-run their uses for money will have low utility but that in the long-run their uses for money will have higher utility then borrowing with a 30-year loan may be advantageous.</v>
      </c>
      <c r="C1527" s="82"/>
      <c r="D1527" s="77"/>
    </row>
    <row r="1528" spans="1:4" x14ac:dyDescent="0.35">
      <c r="B1528" s="81" t="str">
        <f ca="1">[1]!complexV_D($C$1524)</f>
        <v>Two choices, B and C, are correct</v>
      </c>
      <c r="C1528" s="82"/>
      <c r="D1528" s="77"/>
    </row>
    <row r="1529" spans="1:4" ht="16" thickBot="1" x14ac:dyDescent="0.4">
      <c r="B1529" s="83" t="str">
        <f ca="1">[1]!complexV_E($C$1524)</f>
        <v>None of the A-B-C choices are correct</v>
      </c>
      <c r="C1529" s="84"/>
      <c r="D1529" s="78"/>
    </row>
    <row r="1530" spans="1:4" ht="16" thickTop="1" x14ac:dyDescent="0.35"/>
    <row r="1532" spans="1:4" x14ac:dyDescent="0.35">
      <c r="A1532" s="88" t="s">
        <v>128</v>
      </c>
    </row>
    <row r="1533" spans="1:4" x14ac:dyDescent="0.35">
      <c r="A1533" s="6" t="s">
        <v>129</v>
      </c>
      <c r="B1533" s="2" t="str">
        <f ca="1">CHOOSE(RANDBETWEEN(1,2),"The geometric average periodic rate of return always is less than or equal to the arithmetic average periodic rate of return.","The arithmetic average periodic rate of return always is greater than or equal to the geometric average periodic rate of return.")</f>
        <v>The arithmetic average periodic rate of return always is greater than or equal to the geometric average periodic rate of return.</v>
      </c>
    </row>
    <row r="1534" spans="1:4" x14ac:dyDescent="0.35">
      <c r="A1534" s="6" t="s">
        <v>130</v>
      </c>
      <c r="B1534" s="2" t="str">
        <f ca="1">CHOOSE(RANDBETWEEN(1,2),"The geometric average periodic rate of return always is greater than or equal to the arithmetic average periodic rate of return.","The arithmetic average periodic rate of return always is less than or equal to the geometric average periodic rate of return.")</f>
        <v>The arithmetic average periodic rate of return always is less than or equal to the geometric average periodic rate of return.</v>
      </c>
    </row>
    <row r="1535" spans="1:4" ht="16" thickBot="1" x14ac:dyDescent="0.4">
      <c r="A1535" s="6"/>
    </row>
    <row r="1536" spans="1:4" ht="16.5" thickTop="1" thickBot="1" x14ac:dyDescent="0.4">
      <c r="A1536" s="6"/>
      <c r="B1536" s="76" t="str">
        <f ca="1">[1]!stdtf_ans($C$1536)</f>
        <v>A</v>
      </c>
      <c r="C1536" s="79" t="str">
        <f ca="1" xml:space="preserve"> "/\" &amp;RANDBETWEEN( 1,2) &amp; "/\" &amp; B1533 &amp; "/\" &amp; B1534</f>
        <v>/\1/\The arithmetic average periodic rate of return always is greater than or equal to the geometric average periodic rate of return./\The arithmetic average periodic rate of return always is less than or equal to the geometric average periodic rate of return.</v>
      </c>
      <c r="D1536" s="80" t="s">
        <v>131</v>
      </c>
    </row>
    <row r="1537" spans="1:4" ht="16.5" thickTop="1" thickBot="1" x14ac:dyDescent="0.4">
      <c r="A1537" s="6"/>
      <c r="B1537" s="83" t="str">
        <f ca="1">[1]!stdtf_q($C$1536)</f>
        <v>The arithmetic average periodic rate of return always is greater than or equal to the geometric average periodic rate of return.</v>
      </c>
      <c r="C1537" s="84"/>
      <c r="D1537" s="78"/>
    </row>
    <row r="1538" spans="1:4" ht="16" thickTop="1" x14ac:dyDescent="0.35">
      <c r="A1538" s="6"/>
    </row>
    <row r="1540" spans="1:4" x14ac:dyDescent="0.35">
      <c r="A1540" s="88" t="s">
        <v>1177</v>
      </c>
    </row>
    <row r="1541" spans="1:4" x14ac:dyDescent="0.35">
      <c r="A1541" s="6" t="s">
        <v>129</v>
      </c>
      <c r="B1541" s="2" t="str">
        <f ca="1">CHOOSE(RANDBETWEEN(1,2),"A buy signal results when the short-run moving average becomes bigger than the long-run moving average.","A sell signal results when the short-run moving average becomes smaller than the long-run moving average.")</f>
        <v>A sell signal results when the short-run moving average becomes smaller than the long-run moving average.</v>
      </c>
    </row>
    <row r="1542" spans="1:4" x14ac:dyDescent="0.35">
      <c r="A1542" s="6" t="s">
        <v>130</v>
      </c>
      <c r="B1542" s="2" t="str">
        <f ca="1">CHOOSE(RANDBETWEEN(1,2),"A sell signal results when the short-run moving average becomes bigger than the long-run moving average.","A buy signal results when the short-run moving average becomes smaller than the long-run moving average.")</f>
        <v>A sell signal results when the short-run moving average becomes bigger than the long-run moving average.</v>
      </c>
    </row>
    <row r="1543" spans="1:4" ht="16" thickBot="1" x14ac:dyDescent="0.4"/>
    <row r="1544" spans="1:4" ht="16.5" thickTop="1" thickBot="1" x14ac:dyDescent="0.4">
      <c r="B1544" s="76" t="str">
        <f ca="1">[1]!stdtf_ans($C$1544)</f>
        <v>B</v>
      </c>
      <c r="C1544" s="79" t="str">
        <f ca="1" xml:space="preserve"> "/\" &amp;RANDBETWEEN( 1,2) &amp; "/\" &amp; B1541 &amp; "/\" &amp; B1542</f>
        <v>/\2/\A sell signal results when the short-run moving average becomes smaller than the long-run moving average./\A sell signal results when the short-run moving average becomes bigger than the long-run moving average.</v>
      </c>
      <c r="D1544" s="80" t="s">
        <v>1178</v>
      </c>
    </row>
    <row r="1545" spans="1:4" ht="16.5" thickTop="1" thickBot="1" x14ac:dyDescent="0.4">
      <c r="B1545" s="83" t="str">
        <f ca="1">[1]!stdtf_q($C$1544)</f>
        <v>A sell signal results when the short-run moving average becomes bigger than the long-run moving average.</v>
      </c>
      <c r="C1545" s="84"/>
      <c r="D1545" s="78"/>
    </row>
    <row r="1546" spans="1:4" ht="16" thickTop="1" x14ac:dyDescent="0.35"/>
    <row r="1548" spans="1:4" x14ac:dyDescent="0.35">
      <c r="A1548" s="88" t="s">
        <v>1179</v>
      </c>
    </row>
    <row r="1549" spans="1:4" x14ac:dyDescent="0.35">
      <c r="A1549" s="2" t="s">
        <v>2146</v>
      </c>
      <c r="B1549" s="2" t="s">
        <v>2666</v>
      </c>
    </row>
    <row r="1550" spans="1:4" x14ac:dyDescent="0.35">
      <c r="A1550" s="2" t="s">
        <v>2147</v>
      </c>
      <c r="B1550" s="2" t="s">
        <v>1574</v>
      </c>
    </row>
    <row r="1551" spans="1:4" x14ac:dyDescent="0.35">
      <c r="A1551" s="2" t="s">
        <v>2148</v>
      </c>
      <c r="B1551" s="2" t="s">
        <v>1575</v>
      </c>
    </row>
    <row r="1552" spans="1:4" x14ac:dyDescent="0.35">
      <c r="A1552" s="2" t="s">
        <v>2149</v>
      </c>
      <c r="B1552" s="2" t="s">
        <v>1576</v>
      </c>
    </row>
    <row r="1553" spans="1:4" x14ac:dyDescent="0.35">
      <c r="A1553" s="2" t="s">
        <v>2150</v>
      </c>
      <c r="B1553" s="2" t="s">
        <v>3541</v>
      </c>
    </row>
    <row r="1554" spans="1:4" x14ac:dyDescent="0.35">
      <c r="A1554" s="2" t="s">
        <v>2151</v>
      </c>
      <c r="B1554" s="2" t="s">
        <v>2913</v>
      </c>
    </row>
    <row r="1555" spans="1:4" x14ac:dyDescent="0.35">
      <c r="A1555" s="2" t="s">
        <v>2914</v>
      </c>
      <c r="B1555" s="2" t="s">
        <v>1577</v>
      </c>
    </row>
    <row r="1556" spans="1:4" x14ac:dyDescent="0.35">
      <c r="A1556" s="2" t="s">
        <v>2915</v>
      </c>
      <c r="B1556" s="2" t="s">
        <v>1578</v>
      </c>
    </row>
    <row r="1557" spans="1:4" x14ac:dyDescent="0.35">
      <c r="A1557" s="2" t="s">
        <v>2916</v>
      </c>
      <c r="B1557" s="2" t="s">
        <v>1066</v>
      </c>
    </row>
    <row r="1558" spans="1:4" x14ac:dyDescent="0.35">
      <c r="A1558" s="2" t="s">
        <v>2917</v>
      </c>
      <c r="B1558" s="2" t="s">
        <v>1067</v>
      </c>
    </row>
    <row r="1559" spans="1:4" ht="16" thickBot="1" x14ac:dyDescent="0.4"/>
    <row r="1560" spans="1:4" ht="16.5" thickTop="1" thickBot="1" x14ac:dyDescent="0.4">
      <c r="B1560" s="76" t="str">
        <f ca="1">[1]!alpha_ans($C$1560)</f>
        <v>E</v>
      </c>
      <c r="C1560" s="79" t="str">
        <f ca="1" xml:space="preserve"> "/\" &amp;RANDBETWEEN( 1,5) &amp; "/\" &amp;RANDBETWEEN( 1,120) &amp; "/\" &amp;B1550 &amp; "/\" &amp; B1549 &amp; "/\" &amp; B1552 &amp; "/\" &amp; B1551 &amp; "/\" &amp; B1554 &amp; "/\" &amp; B1553 &amp; "/\" &amp; B1556 &amp; "/\" &amp; B1555 &amp; "/\" &amp; B1558 &amp; "/\" &amp; B1557</f>
        <v>/\5/\9/\The National Stock Exchange (NSX) in Chicago is the largest stock market in the U.S.A.  NSX was founded in 1885 as the American Stock Exchange./\The National Stock Exchange (NSX) in Chicago is the third largest stock market in the U.S.A.  NSX was founded in 1885 as the Cincinnati Stock Exchange./\The Pacific Stock Exchange (PCX) in San Francisco was founded in 1862 and in 1999 PCX became the first U.S. stock exchange to switch from a for-profit publicly traded company and instead now operates as a member-owned organization./\The Pacific Stock Exchange (PCX) in San Francisco was founded in 1862 and in 1999 PCX became the first U.S. stock exchange to demutualize, meaning switch from a member-owned organization and instead operate as a for-profit publicly traded company.  In 2002 PCX closed its equities floors and migrated stock trading to the Archipelago Exchange (ArcaEx)./\The Philadelphia Stock Exchange (PHLX) was founded in 1790 and is the nation’s oldest.  The PHLX trades more stocks than any other exchange except its bigger neighbor, the New York Stock Exchange./\The Philadelphia Stock Exchange (PHLX) was founded in 1790 and is the nation’s oldest.  The PHLX has a strong market position trading 1,600 equity options, 19 sectors index options, and currency options and futures./\The Pink sheets were founded in 1904 in New York and today quote stock prices for several thousand companies with market caps that generally exceed $1 billion./\The Pink sheets were founded in 1904 in New York and today quote stock prices for companies that do not register with the SEC and are not required to file financial statements with the government./\The OTC Bulletin Board (OTCBB) began operations in June 1990 to provide transparency in the over-the-counter equities market. The average share price for OTCBB stocks is about $10 a share./\The OTC Bulletin Board (OTCBB) began operations in June 1990 to provide transparency in the over-the-counter equities market. The OTCBB provides price quotes for stocks for companies that register and file financial statements with the SEC.  Average share price for OTCBB stocks is about ten cents a share.</v>
      </c>
      <c r="D1560" s="80" t="s">
        <v>1068</v>
      </c>
    </row>
    <row r="1561" spans="1:4" ht="16" thickTop="1" x14ac:dyDescent="0.35">
      <c r="B1561" s="81" t="str">
        <f ca="1">[1]!standardV_A($C$1560)</f>
        <v>The National Stock Exchange (NSX) in Chicago is the third largest stock market in the U.S.A.  NSX was founded in 1885 as the Cincinnati Stock Exchange.</v>
      </c>
      <c r="C1561" s="82"/>
      <c r="D1561" s="77"/>
    </row>
    <row r="1562" spans="1:4" x14ac:dyDescent="0.35">
      <c r="B1562" s="81" t="str">
        <f ca="1">[1]!standardV_B($C$1560)</f>
        <v>The Philadelphia Stock Exchange (PHLX) was founded in 1790 and is the nation’s oldest.  The PHLX has a strong market position trading 1,600 equity options, 19 sectors index options, and currency options and futures.</v>
      </c>
      <c r="C1562" s="82"/>
      <c r="D1562" s="77"/>
    </row>
    <row r="1563" spans="1:4" x14ac:dyDescent="0.35">
      <c r="B1563" s="81" t="str">
        <f ca="1">[1]!standardV_C($C$1560)</f>
        <v>The Pink sheets were founded in 1904 in New York and today quote stock prices for companies that do not register with the SEC and are not required to file financial statements with the government.</v>
      </c>
      <c r="C1563" s="82"/>
      <c r="D1563" s="77"/>
    </row>
    <row r="1564" spans="1:4" x14ac:dyDescent="0.35">
      <c r="B1564" s="81" t="str">
        <f ca="1">[1]!standardV_D($C$1560)</f>
        <v>The Pacific Stock Exchange (PCX) in San Francisco was founded in 1862 and in 1999 PCX became the first U.S. stock exchange to demutualize, meaning switch from a member-owned organization and instead operate as a for-profit publicly traded company.  In 2002 PCX closed its equities floors and migrated stock trading to the Archipelago Exchange (ArcaEx).</v>
      </c>
      <c r="C1564" s="82"/>
      <c r="D1564" s="77"/>
    </row>
    <row r="1565" spans="1:4" ht="16" thickBot="1" x14ac:dyDescent="0.4">
      <c r="B1565" s="83" t="str">
        <f ca="1">[1]!standardV_E($C$1560)</f>
        <v>The OTC Bulletin Board (OTCBB) began operations in June 1990 to provide transparency in the over-the-counter equities market. The average share price for OTCBB stocks is about $10 a share.</v>
      </c>
      <c r="C1565" s="84"/>
      <c r="D1565" s="78"/>
    </row>
    <row r="1566" spans="1:4" ht="16" thickTop="1" x14ac:dyDescent="0.35"/>
    <row r="1568" spans="1:4" x14ac:dyDescent="0.35">
      <c r="A1568" s="88" t="s">
        <v>1069</v>
      </c>
    </row>
    <row r="1569" spans="1:6" x14ac:dyDescent="0.35">
      <c r="A1569" s="6" t="s">
        <v>129</v>
      </c>
      <c r="B1569" s="2" t="s">
        <v>1070</v>
      </c>
    </row>
    <row r="1570" spans="1:6" x14ac:dyDescent="0.35">
      <c r="A1570" s="6" t="s">
        <v>130</v>
      </c>
      <c r="B1570" s="2" t="s">
        <v>1071</v>
      </c>
    </row>
    <row r="1571" spans="1:6" ht="16" thickBot="1" x14ac:dyDescent="0.4"/>
    <row r="1572" spans="1:6" ht="16.5" thickTop="1" thickBot="1" x14ac:dyDescent="0.4">
      <c r="B1572" s="76" t="str">
        <f ca="1">[1]!stdtf_ans($C$1572)</f>
        <v>B</v>
      </c>
      <c r="C1572" s="79" t="str">
        <f ca="1" xml:space="preserve"> "/\" &amp;RANDBETWEEN( 1,2) &amp; "/\" &amp; B1569 &amp; "/\" &amp; B1570</f>
        <v>/\2/\Allocate half the money to X and half to Y because this creates the minimum risk portfolio for this case./\Analyze historical stock returns for X and Y and invest all money in the stock that had the best performance last year.</v>
      </c>
      <c r="D1572" s="80" t="s">
        <v>1072</v>
      </c>
    </row>
    <row r="1573" spans="1:6" ht="16.5" thickTop="1" thickBot="1" x14ac:dyDescent="0.4">
      <c r="B1573" s="83" t="str">
        <f ca="1">[1]!stdtf_q($C$1572)</f>
        <v>Analyze historical stock returns for X and Y and invest all money in the stock that had the best performance last year.</v>
      </c>
      <c r="C1573" s="84"/>
      <c r="D1573" s="78"/>
    </row>
    <row r="1574" spans="1:6" ht="16" thickTop="1" x14ac:dyDescent="0.35"/>
    <row r="1576" spans="1:6" x14ac:dyDescent="0.35">
      <c r="A1576" s="88" t="s">
        <v>1180</v>
      </c>
    </row>
    <row r="1577" spans="1:6" x14ac:dyDescent="0.35">
      <c r="A1577" s="370">
        <f ca="1">ROUND(A1578*C1579,0)</f>
        <v>1377</v>
      </c>
      <c r="B1577" s="2" t="s">
        <v>1184</v>
      </c>
      <c r="E1577" s="24">
        <f ca="1">A1582-A1583</f>
        <v>1444</v>
      </c>
      <c r="F1577" s="2" t="s">
        <v>1186</v>
      </c>
    </row>
    <row r="1578" spans="1:6" x14ac:dyDescent="0.35">
      <c r="A1578" s="370">
        <f ca="1">RANDBETWEEN(900,1100)*10</f>
        <v>10760</v>
      </c>
      <c r="B1578" s="2" t="s">
        <v>1181</v>
      </c>
      <c r="E1578" s="10">
        <f ca="1">E1577+A1583*A1580/A1581</f>
        <v>1530</v>
      </c>
      <c r="F1578" s="2" t="s">
        <v>1188</v>
      </c>
    </row>
    <row r="1579" spans="1:6" x14ac:dyDescent="0.35">
      <c r="A1579" s="375">
        <f ca="1">A1577/A1578</f>
        <v>0.12797397769516727</v>
      </c>
      <c r="B1579" s="2" t="s">
        <v>513</v>
      </c>
      <c r="C1579" s="172">
        <f ca="1">RANDBETWEEN(110,140)/1000</f>
        <v>0.128</v>
      </c>
      <c r="E1579" s="370">
        <f ca="1">E1578/A1579</f>
        <v>11955.555555555557</v>
      </c>
      <c r="F1579" s="2" t="s">
        <v>1189</v>
      </c>
    </row>
    <row r="1580" spans="1:6" x14ac:dyDescent="0.35">
      <c r="A1580" s="2">
        <f ca="1">A1581+RANDBETWEEN(1,A1581)</f>
        <v>6</v>
      </c>
      <c r="B1580" s="2" t="s">
        <v>1182</v>
      </c>
    </row>
    <row r="1581" spans="1:6" x14ac:dyDescent="0.35">
      <c r="A1581" s="2">
        <f ca="1">RANDBETWEEN(1,5)</f>
        <v>3</v>
      </c>
      <c r="B1581" s="2" t="s">
        <v>1183</v>
      </c>
      <c r="D1581" s="2" t="str">
        <f ca="1">A1580&amp;"-for-"&amp;A1581</f>
        <v>6-for-3</v>
      </c>
    </row>
    <row r="1582" spans="1:6" x14ac:dyDescent="0.35">
      <c r="A1582" s="24">
        <f ca="1">ROUND((1+RANDBETWEEN(8,13)/100)^(IF(RANDBETWEEN(0,1)=0,1,-1))*A1577,0)</f>
        <v>1487</v>
      </c>
      <c r="B1582" s="2" t="s">
        <v>1185</v>
      </c>
    </row>
    <row r="1583" spans="1:6" x14ac:dyDescent="0.35">
      <c r="A1583" s="8">
        <f ca="1">RANDBETWEEN(28,72)</f>
        <v>43</v>
      </c>
      <c r="B1583" s="2" t="s">
        <v>1187</v>
      </c>
    </row>
    <row r="1584" spans="1:6" ht="16" thickBot="1" x14ac:dyDescent="0.4"/>
    <row r="1585" spans="1:4" ht="16.5" thickTop="1" thickBot="1" x14ac:dyDescent="0.4">
      <c r="B1585" s="76" t="str">
        <f ca="1">[1]!std_ans($C$1585)</f>
        <v>E</v>
      </c>
      <c r="C1585" s="79" t="str">
        <f ca="1" xml:space="preserve"> "/\" &amp;RANDBETWEEN( 1,120) &amp; "/\" &amp;RANDBETWEEN( 1,120) &amp; "/\" &amp;0.03 &amp; "/\" &amp; E1579</f>
        <v>/\108/\108/\0.03/\11955.5555555556</v>
      </c>
      <c r="D1585" s="80" t="s">
        <v>1190</v>
      </c>
    </row>
    <row r="1586" spans="1:4" ht="16" thickTop="1" x14ac:dyDescent="0.35">
      <c r="B1586" s="74">
        <f ca="1">[1]!stdnum_A($C$1585)</f>
        <v>10622.356261747607</v>
      </c>
      <c r="C1586" s="82"/>
      <c r="D1586" s="77"/>
    </row>
    <row r="1587" spans="1:4" x14ac:dyDescent="0.35">
      <c r="B1587" s="74">
        <f ca="1">[1]!stdnum_B($C$1585)</f>
        <v>10941.026949600036</v>
      </c>
      <c r="C1587" s="82"/>
      <c r="D1587" s="77"/>
    </row>
    <row r="1588" spans="1:4" x14ac:dyDescent="0.35">
      <c r="B1588" s="74">
        <f ca="1">[1]!stdnum_C($C$1585)</f>
        <v>11269.257758088039</v>
      </c>
      <c r="C1588" s="82"/>
      <c r="D1588" s="77"/>
    </row>
    <row r="1589" spans="1:4" x14ac:dyDescent="0.35">
      <c r="B1589" s="74">
        <f ca="1">[1]!stdnum_D($C$1585)</f>
        <v>11607.335490830679</v>
      </c>
      <c r="C1589" s="82"/>
      <c r="D1589" s="77"/>
    </row>
    <row r="1590" spans="1:4" ht="16" thickBot="1" x14ac:dyDescent="0.4">
      <c r="B1590" s="75">
        <f ca="1">[1]!stdnum_E($C$1585)</f>
        <v>11955.5555555556</v>
      </c>
      <c r="C1590" s="84"/>
      <c r="D1590" s="78"/>
    </row>
    <row r="1591" spans="1:4" ht="16" thickTop="1" x14ac:dyDescent="0.35"/>
    <row r="1593" spans="1:4" x14ac:dyDescent="0.35">
      <c r="A1593" s="88" t="s">
        <v>933</v>
      </c>
    </row>
    <row r="1594" spans="1:4" x14ac:dyDescent="0.35">
      <c r="A1594" s="5" t="s">
        <v>372</v>
      </c>
      <c r="B1594" s="2" t="s">
        <v>934</v>
      </c>
    </row>
    <row r="1595" spans="1:4" x14ac:dyDescent="0.35">
      <c r="A1595" s="5" t="s">
        <v>1683</v>
      </c>
      <c r="B1595" s="2" t="str">
        <f ca="1">CHOOSE(RANDBETWEEN(1,2),"maximize sales revenue","maximize Stockholders’ equity")</f>
        <v>maximize sales revenue</v>
      </c>
    </row>
    <row r="1596" spans="1:4" x14ac:dyDescent="0.35">
      <c r="B1596" s="2" t="str">
        <f ca="1">CHOOSE(RANDBETWEEN(1,2),"maximize the stock price","maximize Total assets")</f>
        <v>maximize Total assets</v>
      </c>
    </row>
    <row r="1597" spans="1:4" x14ac:dyDescent="0.35">
      <c r="B1597" s="2" t="str">
        <f ca="1">CHOOSE(RANDBETWEEN(1,2),"maximize employee wages","minimize tax payments")</f>
        <v>maximize employee wages</v>
      </c>
    </row>
    <row r="1598" spans="1:4" x14ac:dyDescent="0.35">
      <c r="B1598" s="2" t="str">
        <f ca="1">CHOOSE(RANDBETWEEN(1,3),"minimize production costs","maximize Net income","maximize profit")</f>
        <v>maximize profit</v>
      </c>
    </row>
    <row r="1599" spans="1:4" ht="16" thickBot="1" x14ac:dyDescent="0.4"/>
    <row r="1600" spans="1:4" ht="16.5" thickTop="1" thickBot="1" x14ac:dyDescent="0.4">
      <c r="B1600" s="76" t="str">
        <f ca="1">[1]!std_ans($C$1600)</f>
        <v>C</v>
      </c>
      <c r="C1600" s="79" t="str">
        <f ca="1" xml:space="preserve"> "/\" &amp;RANDBETWEEN( 1,120) &amp; "/\" &amp; B1594 &amp; "/\" &amp; B1595 &amp; "/\" &amp; B1596 &amp; "/\" &amp; B1597 &amp; "/\" &amp; B1598</f>
        <v>/\79/\maximize wealth creation/\maximize sales revenue/\maximize Total assets/\maximize employee wages/\maximize profit</v>
      </c>
      <c r="D1600" s="80" t="s">
        <v>935</v>
      </c>
    </row>
    <row r="1601" spans="1:4" ht="16" thickTop="1" x14ac:dyDescent="0.35">
      <c r="B1601" s="81" t="str">
        <f ca="1">[1]!simpleV_A($C$1600)</f>
        <v>maximize employee wages</v>
      </c>
      <c r="C1601" s="82"/>
      <c r="D1601" s="77"/>
    </row>
    <row r="1602" spans="1:4" x14ac:dyDescent="0.35">
      <c r="B1602" s="81" t="str">
        <f ca="1">[1]!simpleV_B($C$1600)</f>
        <v>maximize sales revenue</v>
      </c>
      <c r="C1602" s="82"/>
      <c r="D1602" s="77"/>
    </row>
    <row r="1603" spans="1:4" x14ac:dyDescent="0.35">
      <c r="B1603" s="81" t="str">
        <f ca="1">[1]!simpleV_C($C$1600)</f>
        <v>maximize wealth creation</v>
      </c>
      <c r="C1603" s="82"/>
      <c r="D1603" s="77"/>
    </row>
    <row r="1604" spans="1:4" x14ac:dyDescent="0.35">
      <c r="B1604" s="81" t="str">
        <f ca="1">[1]!simpleV_D($C$1600)</f>
        <v>maximize Total assets</v>
      </c>
      <c r="C1604" s="82"/>
      <c r="D1604" s="77"/>
    </row>
    <row r="1605" spans="1:4" ht="16" thickBot="1" x14ac:dyDescent="0.4">
      <c r="B1605" s="83" t="str">
        <f ca="1">[1]!simpleV_E($C$1600)</f>
        <v>maximize profit</v>
      </c>
      <c r="C1605" s="84"/>
      <c r="D1605" s="78"/>
    </row>
    <row r="1606" spans="1:4" ht="16" thickTop="1" x14ac:dyDescent="0.35"/>
    <row r="1608" spans="1:4" x14ac:dyDescent="0.35">
      <c r="A1608" s="88" t="s">
        <v>926</v>
      </c>
    </row>
    <row r="1609" spans="1:4" x14ac:dyDescent="0.35">
      <c r="A1609" s="2" t="s">
        <v>2146</v>
      </c>
      <c r="B1609" s="2" t="s">
        <v>928</v>
      </c>
    </row>
    <row r="1610" spans="1:4" x14ac:dyDescent="0.35">
      <c r="A1610" s="2" t="s">
        <v>2147</v>
      </c>
      <c r="B1610" s="2" t="s">
        <v>929</v>
      </c>
    </row>
    <row r="1611" spans="1:4" x14ac:dyDescent="0.35">
      <c r="A1611" s="2" t="s">
        <v>2148</v>
      </c>
      <c r="B1611" s="2" t="s">
        <v>930</v>
      </c>
    </row>
    <row r="1612" spans="1:4" x14ac:dyDescent="0.35">
      <c r="A1612" s="2" t="s">
        <v>2149</v>
      </c>
      <c r="B1612" s="2" t="s">
        <v>2835</v>
      </c>
    </row>
    <row r="1613" spans="1:4" x14ac:dyDescent="0.35">
      <c r="A1613" s="2" t="s">
        <v>2150</v>
      </c>
      <c r="B1613" s="2" t="s">
        <v>2836</v>
      </c>
    </row>
    <row r="1614" spans="1:4" x14ac:dyDescent="0.35">
      <c r="A1614" s="2" t="s">
        <v>2151</v>
      </c>
      <c r="B1614" s="2" t="s">
        <v>2837</v>
      </c>
    </row>
    <row r="1615" spans="1:4" ht="16" thickBot="1" x14ac:dyDescent="0.4"/>
    <row r="1616" spans="1:4" ht="16.5" thickTop="1" thickBot="1" x14ac:dyDescent="0.4">
      <c r="B1616" s="76" t="str">
        <f ca="1">[1]!alpha_ans($C$1616)</f>
        <v>D</v>
      </c>
      <c r="C1616" s="79" t="str">
        <f ca="1" xml:space="preserve"> "/\" &amp;RANDBETWEEN( 1,5) &amp; "/\" &amp;RANDBETWEEN( 1,3) &amp; "/\" &amp;RANDBETWEEN( 1,2) &amp; "/\" &amp;B1609 &amp; "/\" &amp; B1610 &amp; "/\" &amp; B1611 &amp; "/\" &amp; B1612 &amp; "/\" &amp; B1613 &amp; "/\" &amp; B1614</f>
        <v>/\4/\3/\2/\They usually are not employees of the company/\They usually are highly paid employees of the company/\They often are successful outsiders with careers unrelated to the mission of the company/\They usually are company insiders with very close personal relationships with senior management/\They are elected to the Board by shareholders/\They are elected to the Board by senior management</v>
      </c>
      <c r="D1616" s="80" t="s">
        <v>927</v>
      </c>
    </row>
    <row r="1617" spans="1:4" ht="16" thickTop="1" x14ac:dyDescent="0.35">
      <c r="B1617" s="81" t="str">
        <f ca="1">[1]!complexV_A($C$1616)</f>
        <v>They usually are highly paid employees of the company</v>
      </c>
      <c r="C1617" s="82"/>
      <c r="D1617" s="77"/>
    </row>
    <row r="1618" spans="1:4" x14ac:dyDescent="0.35">
      <c r="B1618" s="81" t="str">
        <f ca="1">[1]!complexV_B($C$1616)</f>
        <v>They often are successful outsiders with careers unrelated to the mission of the company</v>
      </c>
      <c r="C1618" s="82"/>
      <c r="D1618" s="77"/>
    </row>
    <row r="1619" spans="1:4" x14ac:dyDescent="0.35">
      <c r="B1619" s="81" t="str">
        <f ca="1">[1]!complexV_C($C$1616)</f>
        <v>They are elected to the Board by shareholders</v>
      </c>
      <c r="C1619" s="82"/>
      <c r="D1619" s="77"/>
    </row>
    <row r="1620" spans="1:4" x14ac:dyDescent="0.35">
      <c r="B1620" s="81" t="str">
        <f ca="1">[1]!complexV_D($C$1616)</f>
        <v>Two choices, B and C, are correct</v>
      </c>
      <c r="C1620" s="82"/>
      <c r="D1620" s="77"/>
    </row>
    <row r="1621" spans="1:4" ht="16" thickBot="1" x14ac:dyDescent="0.4">
      <c r="B1621" s="83" t="str">
        <f ca="1">[1]!complexV_E($C$1616)</f>
        <v>None of the A-B-C choices are correct</v>
      </c>
      <c r="C1621" s="84"/>
      <c r="D1621" s="78"/>
    </row>
    <row r="1622" spans="1:4" ht="16" thickTop="1" x14ac:dyDescent="0.35"/>
    <row r="1624" spans="1:4" x14ac:dyDescent="0.35">
      <c r="A1624" s="88" t="s">
        <v>1597</v>
      </c>
    </row>
    <row r="1625" spans="1:4" x14ac:dyDescent="0.35">
      <c r="A1625" s="2" t="s">
        <v>2146</v>
      </c>
      <c r="B1625" s="2" t="s">
        <v>1598</v>
      </c>
    </row>
    <row r="1626" spans="1:4" x14ac:dyDescent="0.35">
      <c r="A1626" s="2" t="s">
        <v>2147</v>
      </c>
      <c r="B1626" s="2" t="s">
        <v>1599</v>
      </c>
    </row>
    <row r="1627" spans="1:4" x14ac:dyDescent="0.35">
      <c r="A1627" s="2" t="s">
        <v>2148</v>
      </c>
      <c r="B1627" s="2" t="s">
        <v>1600</v>
      </c>
    </row>
    <row r="1628" spans="1:4" x14ac:dyDescent="0.35">
      <c r="A1628" s="2" t="s">
        <v>2149</v>
      </c>
      <c r="B1628" s="2" t="s">
        <v>1601</v>
      </c>
    </row>
    <row r="1629" spans="1:4" x14ac:dyDescent="0.35">
      <c r="A1629" s="2" t="s">
        <v>2150</v>
      </c>
      <c r="B1629" s="2" t="str">
        <f ca="1">CHOOSE(RANDBETWEEN(1,4),"When the project’s actual financing rate exceeds the IRR then the NPV is negative.","When the project’s actual financing rate is less than the IRR then the NPV is positive.","When a project’s NPV is positive then the actual financing rate is less than the IRR.","When a project’s NPV is negative then the actual financing rate exceeds the IRR.")</f>
        <v>When the project’s actual financing rate is less than the IRR then the NPV is positive.</v>
      </c>
    </row>
    <row r="1630" spans="1:4" x14ac:dyDescent="0.35">
      <c r="A1630" s="2" t="s">
        <v>2151</v>
      </c>
      <c r="B1630" s="2" t="str">
        <f ca="1">CHOOSE(RANDBETWEEN(1,4),"When the project’s actual financing rate exceeds the IRR then the NPV is positive.","When the project’s actual financing rate is less than the IRR then the NPV is negative.","When a project’s NPV is negative then the actual financing rate is less than the IRR.","When a project’s NPV is positive then the actual financing rate exceeds the IRR.")</f>
        <v>When the project’s actual financing rate is less than the IRR then the NPV is negative.</v>
      </c>
    </row>
    <row r="1631" spans="1:4" ht="16" thickBot="1" x14ac:dyDescent="0.4"/>
    <row r="1632" spans="1:4" ht="16.5" thickTop="1" thickBot="1" x14ac:dyDescent="0.4">
      <c r="B1632" s="76" t="str">
        <f ca="1">[1]!alpha_ans($C$1632)</f>
        <v>B</v>
      </c>
      <c r="C1632" s="79" t="str">
        <f ca="1" xml:space="preserve"> "/\" &amp;RANDBETWEEN( 1,5) &amp; "/\" &amp;RANDBETWEEN( 1,3) &amp; "/\" &amp;RANDBETWEEN( 1,2) &amp; "/\" &amp;B1625 &amp; "/\" &amp; B1626 &amp; "/\" &amp; B1627 &amp; "/\" &amp; B1628 &amp; "/\" &amp; B1629 &amp; "/\" &amp; B1630</f>
        <v>/\2/\1/\2/\The IRR for a project is the financing rate at which the project’s NPV is zero./\The NPV for a project is the financing rate at which the project’s IRR is zero./\The NPV for a project is the amount of capitalized economic profit that a project creates./\The NPV for a project is the amount of wealth that the project creates./\When the project’s actual financing rate is less than the IRR then the NPV is positive./\When the project’s actual financing rate is less than the IRR then the NPV is negative.</v>
      </c>
      <c r="D1632" s="80" t="s">
        <v>1602</v>
      </c>
    </row>
    <row r="1633" spans="1:4" ht="16" thickTop="1" x14ac:dyDescent="0.35">
      <c r="B1633" s="81" t="str">
        <f ca="1">[1]!complexV_A($C$1632)</f>
        <v>The NPV for a project is the financing rate at which the project’s IRR is zero.</v>
      </c>
      <c r="C1633" s="82"/>
      <c r="D1633" s="77"/>
    </row>
    <row r="1634" spans="1:4" x14ac:dyDescent="0.35">
      <c r="B1634" s="81" t="str">
        <f ca="1">[1]!complexV_B($C$1632)</f>
        <v>The NPV for a project is the amount of capitalized economic profit that a project creates.</v>
      </c>
      <c r="C1634" s="82"/>
      <c r="D1634" s="77"/>
    </row>
    <row r="1635" spans="1:4" x14ac:dyDescent="0.35">
      <c r="B1635" s="81" t="str">
        <f ca="1">[1]!complexV_C($C$1632)</f>
        <v>When the project’s actual financing rate is less than the IRR then the NPV is negative.</v>
      </c>
      <c r="C1635" s="82"/>
      <c r="D1635" s="77"/>
    </row>
    <row r="1636" spans="1:4" x14ac:dyDescent="0.35">
      <c r="B1636" s="81" t="str">
        <f ca="1">[1]!complexV_D($C$1632)</f>
        <v>Two choices, A and B, are correct</v>
      </c>
      <c r="C1636" s="82"/>
      <c r="D1636" s="77"/>
    </row>
    <row r="1637" spans="1:4" ht="16" thickBot="1" x14ac:dyDescent="0.4">
      <c r="B1637" s="83" t="str">
        <f ca="1">[1]!complexV_E($C$1632)</f>
        <v>None of the A-B-C choices are correct</v>
      </c>
      <c r="C1637" s="84"/>
      <c r="D1637" s="78"/>
    </row>
    <row r="1638" spans="1:4" ht="16" thickTop="1" x14ac:dyDescent="0.35"/>
    <row r="1640" spans="1:4" x14ac:dyDescent="0.35">
      <c r="A1640" s="88" t="s">
        <v>2191</v>
      </c>
    </row>
    <row r="1641" spans="1:4" x14ac:dyDescent="0.35">
      <c r="A1641" s="2" t="s">
        <v>2146</v>
      </c>
      <c r="B1641" s="2" t="str">
        <f ca="1">CHOOSE(RANDBETWEEN(1,2),"Next year’s spot price for a unit of foreign currency increases as the inflation rate in the foreign economy decreases.","Next year’s spot price for a unit of foreign currency decreases as the inflation rate in the foreign economy increases.")</f>
        <v>Next year’s spot price for a unit of foreign currency increases as the inflation rate in the foreign economy decreases.</v>
      </c>
    </row>
    <row r="1642" spans="1:4" x14ac:dyDescent="0.35">
      <c r="A1642" s="2" t="s">
        <v>2147</v>
      </c>
      <c r="B1642" s="2" t="str">
        <f ca="1">CHOOSE(RANDBETWEEN(1,2),"Next year’s spot price for a unit of foreign currency increases as the inflation rate in the foreign economy increases.","Next year’s spot price for a unit of foreign currency decreases as the inflation rate in the foreign economy decreases.")</f>
        <v>Next year’s spot price for a unit of foreign currency decreases as the inflation rate in the foreign economy decreases.</v>
      </c>
    </row>
    <row r="1643" spans="1:4" x14ac:dyDescent="0.35">
      <c r="A1643" s="2" t="s">
        <v>2148</v>
      </c>
      <c r="B1643" s="2" t="str">
        <f ca="1">CHOOSE(RANDBETWEEN(1,2),"Next year’s spot price for a unit of foreign currency increases as the inflation rate in the domestic economy increases.","Next year’s spot price for a unit of foreign currency decreases as the inflation rate in the domestic economy decreases.")</f>
        <v>Next year’s spot price for a unit of foreign currency decreases as the inflation rate in the domestic economy decreases.</v>
      </c>
    </row>
    <row r="1644" spans="1:4" x14ac:dyDescent="0.35">
      <c r="A1644" s="2" t="s">
        <v>2149</v>
      </c>
      <c r="B1644" s="2" t="str">
        <f ca="1">CHOOSE(RANDBETWEEN(1,2),"Next year’s spot price for a unit of foreign currency increases as the inflation rate in the domestic economy decreases.","Next year’s spot price for a unit of foreign currency decreases as the inflation rate in the domestic economy increases.")</f>
        <v>Next year’s spot price for a unit of foreign currency decreases as the inflation rate in the domestic economy increases.</v>
      </c>
    </row>
    <row r="1645" spans="1:4" x14ac:dyDescent="0.35">
      <c r="A1645" s="2" t="s">
        <v>2150</v>
      </c>
      <c r="B1645" s="2" t="s">
        <v>2192</v>
      </c>
    </row>
    <row r="1646" spans="1:4" x14ac:dyDescent="0.35">
      <c r="A1646" s="2" t="s">
        <v>2151</v>
      </c>
      <c r="B1646" s="2" t="str">
        <f ca="1">CHOOSE(RANDBETWEEN(1,2),"When the inflation rate in the domestic and foreign economies are equal then probably the domestic currency appreciates relative to the foreign currency.","When the inflation rate in the domestic and foreign economies are equal then probably the domestic currency depreciates relative to the foreign currency.")</f>
        <v>When the inflation rate in the domestic and foreign economies are equal then probably the domestic currency depreciates relative to the foreign currency.</v>
      </c>
    </row>
    <row r="1647" spans="1:4" ht="16" thickBot="1" x14ac:dyDescent="0.4"/>
    <row r="1648" spans="1:4" ht="16.5" thickTop="1" thickBot="1" x14ac:dyDescent="0.4">
      <c r="B1648" s="76" t="str">
        <f ca="1">[1]!alpha_ans($C$1648)</f>
        <v>B</v>
      </c>
      <c r="C1648" s="79" t="str">
        <f ca="1" xml:space="preserve"> "/\" &amp;RANDBETWEEN( 1,5) &amp; "/\" &amp;RANDBETWEEN( 1,3) &amp; "/\" &amp;RANDBETWEEN( 1,2) &amp; "/\" &amp;B1641 &amp; "/\" &amp; B1642 &amp; "/\" &amp; B1643 &amp; "/\" &amp; B1644 &amp; "/\" &amp; B1645 &amp; "/\" &amp; B1646</f>
        <v>/\2/\2/\2/\Next year’s spot price for a unit of foreign currency increases as the inflation rate in the foreign economy decreases./\Next year’s spot price for a unit of foreign currency decreases as the inflation rate in the foreign economy decreases./\Next year’s spot price for a unit of foreign currency decreases as the inflation rate in the domestic economy decreases./\Next year’s spot price for a unit of foreign currency decreases as the inflation rate in the domestic economy increases./\When the inflation rate in the domestic and foreign economies are equal then probably then probably next year’s spot price for a unit of foreign currency remains the same as this year’s price./\When the inflation rate in the domestic and foreign economies are equal then probably the domestic currency depreciates relative to the foreign currency.</v>
      </c>
      <c r="D1648" s="80" t="s">
        <v>2193</v>
      </c>
    </row>
    <row r="1649" spans="1:4" ht="16" thickTop="1" x14ac:dyDescent="0.35">
      <c r="B1649" s="81" t="str">
        <f ca="1">[1]!complexV_A($C$1648)</f>
        <v>Next year’s spot price for a unit of foreign currency decreases as the inflation rate in the foreign economy decreases.</v>
      </c>
      <c r="C1649" s="82"/>
      <c r="D1649" s="77"/>
    </row>
    <row r="1650" spans="1:4" x14ac:dyDescent="0.35">
      <c r="B1650" s="81" t="str">
        <f ca="1">[1]!complexV_B($C$1648)</f>
        <v>Next year’s spot price for a unit of foreign currency decreases as the inflation rate in the domestic economy decreases.</v>
      </c>
      <c r="C1650" s="82"/>
      <c r="D1650" s="77"/>
    </row>
    <row r="1651" spans="1:4" x14ac:dyDescent="0.35">
      <c r="B1651" s="81" t="str">
        <f ca="1">[1]!complexV_C($C$1648)</f>
        <v>When the inflation rate in the domestic and foreign economies are equal then probably the domestic currency depreciates relative to the foreign currency.</v>
      </c>
      <c r="C1651" s="82"/>
      <c r="D1651" s="77"/>
    </row>
    <row r="1652" spans="1:4" x14ac:dyDescent="0.35">
      <c r="B1652" s="81" t="str">
        <f ca="1">[1]!complexV_D($C$1648)</f>
        <v>Two choices, A and C, are correct</v>
      </c>
      <c r="C1652" s="82"/>
      <c r="D1652" s="77"/>
    </row>
    <row r="1653" spans="1:4" ht="16" thickBot="1" x14ac:dyDescent="0.4">
      <c r="B1653" s="83" t="str">
        <f ca="1">[1]!complexV_E($C$1648)</f>
        <v>None of the A-B-C choices are correct</v>
      </c>
      <c r="C1653" s="84"/>
      <c r="D1653" s="78"/>
    </row>
    <row r="1654" spans="1:4" ht="16" thickTop="1" x14ac:dyDescent="0.35"/>
    <row r="1656" spans="1:4" x14ac:dyDescent="0.35">
      <c r="A1656" s="88" t="s">
        <v>108</v>
      </c>
    </row>
    <row r="1657" spans="1:4" x14ac:dyDescent="0.35">
      <c r="A1657" s="2" t="s">
        <v>2146</v>
      </c>
      <c r="B1657" s="2" t="s">
        <v>3307</v>
      </c>
    </row>
    <row r="1658" spans="1:4" x14ac:dyDescent="0.35">
      <c r="A1658" s="2" t="s">
        <v>2147</v>
      </c>
      <c r="B1658" s="2" t="s">
        <v>3308</v>
      </c>
    </row>
    <row r="1659" spans="1:4" x14ac:dyDescent="0.35">
      <c r="A1659" s="2" t="s">
        <v>2148</v>
      </c>
      <c r="B1659" s="2" t="s">
        <v>2613</v>
      </c>
    </row>
    <row r="1660" spans="1:4" x14ac:dyDescent="0.35">
      <c r="A1660" s="2" t="s">
        <v>2149</v>
      </c>
      <c r="B1660" s="2" t="str">
        <f ca="1">CHOOSE(RANDBETWEEN(1,2),"One of the product lines for insurance companies that is showing the largest revenue growth is life insurance premiums.","One of the product lines for insurance companies that is showing the largest revenue growth is automobile insurance premiums.")</f>
        <v>One of the product lines for insurance companies that is showing the largest revenue growth is life insurance premiums.</v>
      </c>
    </row>
    <row r="1661" spans="1:4" x14ac:dyDescent="0.35">
      <c r="A1661" s="2" t="s">
        <v>2150</v>
      </c>
      <c r="B1661" s="2" t="s">
        <v>273</v>
      </c>
    </row>
    <row r="1662" spans="1:4" x14ac:dyDescent="0.35">
      <c r="A1662" s="2" t="s">
        <v>2151</v>
      </c>
      <c r="B1662" s="2" t="s">
        <v>274</v>
      </c>
    </row>
    <row r="1663" spans="1:4" ht="16" thickBot="1" x14ac:dyDescent="0.4"/>
    <row r="1664" spans="1:4" ht="16.5" thickTop="1" thickBot="1" x14ac:dyDescent="0.4">
      <c r="B1664" s="76" t="str">
        <f ca="1">[1]!alpha_ans($C$1664)</f>
        <v>B</v>
      </c>
      <c r="C1664" s="79" t="str">
        <f ca="1" xml:space="preserve"> "/\" &amp;RANDBETWEEN( 1,5) &amp; "/\" &amp;RANDBETWEEN( 1,3) &amp; "/\" &amp;RANDBETWEEN( 1,2) &amp; "/\" &amp;B1657 &amp; "/\" &amp; B1658 &amp; "/\" &amp; B1659 &amp; "/\" &amp; B1660 &amp; "/\" &amp; B1661 &amp; "/\" &amp; B1662</f>
        <v>/\2/\1/\1/\The bank sector owns more financial assets than any other financial institution./\The bank sector owns more equities than any other institutional sector on the buy-side./\One of the product lines for insurance companies that is showing the largest revenue growth is annuity premiums./\One of the product lines for insurance companies that is showing the largest revenue growth is life insurance premiums./\Mortgages and other loans represent the largest line items on the Asset side of the aggregate balance sheet for the bank sector./\Mortgages and other loans represent the largest line items on the Liability side of the aggregate balance sheet for the bank sector.</v>
      </c>
      <c r="D1664" s="80" t="s">
        <v>275</v>
      </c>
    </row>
    <row r="1665" spans="1:4" ht="16" thickTop="1" x14ac:dyDescent="0.35">
      <c r="B1665" s="81" t="str">
        <f ca="1">[1]!complexV_A($C$1664)</f>
        <v>The bank sector owns more equities than any other institutional sector on the buy-side.</v>
      </c>
      <c r="C1665" s="82"/>
      <c r="D1665" s="77"/>
    </row>
    <row r="1666" spans="1:4" x14ac:dyDescent="0.35">
      <c r="B1666" s="81" t="str">
        <f ca="1">[1]!complexV_B($C$1664)</f>
        <v>One of the product lines for insurance companies that is showing the largest revenue growth is annuity premiums.</v>
      </c>
      <c r="C1666" s="82"/>
      <c r="D1666" s="77"/>
    </row>
    <row r="1667" spans="1:4" x14ac:dyDescent="0.35">
      <c r="B1667" s="81" t="str">
        <f ca="1">[1]!complexV_C($C$1664)</f>
        <v>Mortgages and other loans represent the largest line items on the Liability side of the aggregate balance sheet for the bank sector.</v>
      </c>
      <c r="C1667" s="82"/>
      <c r="D1667" s="77"/>
    </row>
    <row r="1668" spans="1:4" x14ac:dyDescent="0.35">
      <c r="B1668" s="81" t="str">
        <f ca="1">[1]!complexV_D($C$1664)</f>
        <v>Two choices, A and B, are correct</v>
      </c>
      <c r="C1668" s="82"/>
      <c r="D1668" s="77"/>
    </row>
    <row r="1669" spans="1:4" ht="16" thickBot="1" x14ac:dyDescent="0.4">
      <c r="B1669" s="83" t="str">
        <f ca="1">[1]!complexV_E($C$1664)</f>
        <v>The three A-B-C choices are all correct</v>
      </c>
      <c r="C1669" s="84"/>
      <c r="D1669" s="78"/>
    </row>
    <row r="1670" spans="1:4" ht="16" thickTop="1" x14ac:dyDescent="0.35"/>
    <row r="1672" spans="1:4" x14ac:dyDescent="0.35">
      <c r="A1672" s="88" t="s">
        <v>1884</v>
      </c>
    </row>
    <row r="1673" spans="1:4" x14ac:dyDescent="0.35">
      <c r="A1673" s="2" t="s">
        <v>2146</v>
      </c>
      <c r="B1673" s="2" t="s">
        <v>3802</v>
      </c>
    </row>
    <row r="1674" spans="1:4" x14ac:dyDescent="0.35">
      <c r="A1674" s="2" t="s">
        <v>2147</v>
      </c>
      <c r="B1674" s="2" t="str">
        <f ca="1">CHOOSE(RANDBETWEEN(1,2),"When the company never pays dividends then the ROE is always bigger than the ROR.","When the company never pays dividends then the ROE is always smaller than the ROR.")</f>
        <v>When the company never pays dividends then the ROE is always bigger than the ROR.</v>
      </c>
    </row>
    <row r="1675" spans="1:4" x14ac:dyDescent="0.35">
      <c r="A1675" s="2" t="s">
        <v>2148</v>
      </c>
      <c r="B1675" s="2" t="s">
        <v>3803</v>
      </c>
    </row>
    <row r="1676" spans="1:4" x14ac:dyDescent="0.35">
      <c r="A1676" s="2" t="s">
        <v>2149</v>
      </c>
      <c r="B1676" s="2" t="str">
        <f ca="1">CHOOSE(RANDBETWEEN(1,2),"When the equity price-to-book ratio is constant at unity (1.0) then the ROR is always bigger than the ROE.","When the equity price-to-book ratio is constant at unity (1.0) then the ROR is always smaller than the ROE.")</f>
        <v>When the equity price-to-book ratio is constant at unity (1.0) then the ROR is always smaller than the ROE.</v>
      </c>
    </row>
    <row r="1677" spans="1:4" x14ac:dyDescent="0.35">
      <c r="A1677" s="2" t="s">
        <v>2150</v>
      </c>
      <c r="B1677" s="2" t="s">
        <v>3804</v>
      </c>
    </row>
    <row r="1678" spans="1:4" x14ac:dyDescent="0.35">
      <c r="A1678" s="2" t="s">
        <v>2151</v>
      </c>
      <c r="B1678" s="2" t="s">
        <v>2647</v>
      </c>
    </row>
    <row r="1679" spans="1:4" ht="16" thickBot="1" x14ac:dyDescent="0.4"/>
    <row r="1680" spans="1:4" ht="16.5" thickTop="1" thickBot="1" x14ac:dyDescent="0.4">
      <c r="B1680" s="76" t="str">
        <f ca="1">[1]!alpha_ans($C$1680)</f>
        <v>B</v>
      </c>
      <c r="C1680" s="79" t="str">
        <f ca="1" xml:space="preserve"> "/\" &amp;RANDBETWEEN( 1,5) &amp; "/\" &amp;RANDBETWEEN( 1,3) &amp; "/\" &amp;RANDBETWEEN( 1,2) &amp; "/\" &amp;B1673 &amp; "/\" &amp; B1674 &amp; "/\" &amp; B1675 &amp; "/\" &amp; B1676 &amp; "/\" &amp; B1677 &amp; "/\" &amp; B1678</f>
        <v>/\2/\3/\2/\When the company never pays dividends then the ROE always equals the ROR./\When the company never pays dividends then the ROE is always bigger than the ROR./\When the equity price-to-book ratio is constant at unity (1.0) then the ROR always equals the ROE./\When the equity price-to-book ratio is constant at unity (1.0) then the ROR is always smaller than the ROE./\When the company dividend payout ratio is 100% then the ROR equals the ROE divided by the equity price-to-book ratio./\When the company dividend payout ratio is 100% then the ROR equals the ROE multiplied by the equity price-to-book ratio.</v>
      </c>
      <c r="D1680" s="80" t="s">
        <v>2648</v>
      </c>
    </row>
    <row r="1681" spans="1:4" ht="16" thickTop="1" x14ac:dyDescent="0.35">
      <c r="B1681" s="81" t="str">
        <f ca="1">[1]!complexV_A($C$1680)</f>
        <v>When the company never pays dividends then the ROE is always bigger than the ROR.</v>
      </c>
      <c r="C1681" s="82"/>
      <c r="D1681" s="77"/>
    </row>
    <row r="1682" spans="1:4" x14ac:dyDescent="0.35">
      <c r="B1682" s="81" t="str">
        <f ca="1">[1]!complexV_B($C$1680)</f>
        <v>When the equity price-to-book ratio is constant at unity (1.0) then the ROR always equals the ROE.</v>
      </c>
      <c r="C1682" s="82"/>
      <c r="D1682" s="77"/>
    </row>
    <row r="1683" spans="1:4" x14ac:dyDescent="0.35">
      <c r="B1683" s="81" t="str">
        <f ca="1">[1]!complexV_C($C$1680)</f>
        <v>When the company dividend payout ratio is 100% then the ROR equals the ROE multiplied by the equity price-to-book ratio.</v>
      </c>
      <c r="C1683" s="82"/>
      <c r="D1683" s="77"/>
    </row>
    <row r="1684" spans="1:4" x14ac:dyDescent="0.35">
      <c r="B1684" s="81" t="str">
        <f ca="1">[1]!complexV_D($C$1680)</f>
        <v>Two choices, B and C, are correct</v>
      </c>
      <c r="C1684" s="82"/>
      <c r="D1684" s="77"/>
    </row>
    <row r="1685" spans="1:4" ht="16" thickBot="1" x14ac:dyDescent="0.4">
      <c r="B1685" s="83" t="str">
        <f ca="1">[1]!complexV_E($C$1680)</f>
        <v>None of the A-B-C choices are correct</v>
      </c>
      <c r="C1685" s="84"/>
      <c r="D1685" s="78"/>
    </row>
    <row r="1686" spans="1:4" ht="16" thickTop="1" x14ac:dyDescent="0.35"/>
    <row r="1688" spans="1:4" x14ac:dyDescent="0.35">
      <c r="A1688" s="88" t="s">
        <v>1644</v>
      </c>
    </row>
    <row r="1689" spans="1:4" x14ac:dyDescent="0.35">
      <c r="A1689" s="2" t="s">
        <v>2146</v>
      </c>
      <c r="B1689" s="2" t="s">
        <v>2056</v>
      </c>
    </row>
    <row r="1690" spans="1:4" x14ac:dyDescent="0.35">
      <c r="A1690" s="2" t="s">
        <v>2147</v>
      </c>
      <c r="B1690" s="2" t="str">
        <f ca="1">CHOOSE(RANDBETWEEN(1,2),"The actual ex post ROR is less than the promised yield-to-maturity when you own the bond until maturity and receive all expected cash flows.","The actual ex post ROR exceeds the promised yield-to-maturity when you own the bond until maturity and receive all expected cash flows.")</f>
        <v>The actual ex post ROR is less than the promised yield-to-maturity when you own the bond until maturity and receive all expected cash flows.</v>
      </c>
    </row>
    <row r="1691" spans="1:4" x14ac:dyDescent="0.35">
      <c r="A1691" s="2" t="s">
        <v>2148</v>
      </c>
      <c r="B1691" s="2" t="s">
        <v>1642</v>
      </c>
    </row>
    <row r="1692" spans="1:4" x14ac:dyDescent="0.35">
      <c r="A1692" s="2" t="s">
        <v>2149</v>
      </c>
      <c r="B1692" s="2" t="str">
        <f ca="1">CHOOSE(RANDBETWEEN(1,2),"The actual ex post ROR exceeds the promised yield-to-maturity when you sell a bond before it matures and the YTM at time of sale is the same as when it was purchased.","The actual ex post ROR is less than the promised yield-to-maturity when you sell a bond before it matures and the YTM at time of sale is the same as when it was purchased.")</f>
        <v>The actual ex post ROR is less than the promised yield-to-maturity when you sell a bond before it matures and the YTM at time of sale is the same as when it was purchased.</v>
      </c>
    </row>
    <row r="1693" spans="1:4" x14ac:dyDescent="0.35">
      <c r="A1693" s="2" t="s">
        <v>2150</v>
      </c>
      <c r="B1693" s="2" t="str">
        <f ca="1">CHOOSE(RANDBETWEEN(1,2),"The actual ex post ROR exceeds the promised yield-to-maturity when you sell a bond before it matures and the YTM at time of sale is less than the YTM when it was purchased.","The actual ex post ROR is less than the promised yield-to-maturity when you sell a bond before it matures and the YTM at time of sale exceeds the YTM when it was purchased.")</f>
        <v>The actual ex post ROR is less than the promised yield-to-maturity when you sell a bond before it matures and the YTM at time of sale exceeds the YTM when it was purchased.</v>
      </c>
    </row>
    <row r="1694" spans="1:4" x14ac:dyDescent="0.35">
      <c r="A1694" s="2" t="s">
        <v>2151</v>
      </c>
      <c r="B1694" s="2" t="str">
        <f ca="1">CHOOSE(RANDBETWEEN(1,2),"The actual ex post ROR exceeds the promised yield-to-maturity when you sell a bond before it matures and the YTM at time of sale exceeds the YTM when it was purchased.","The actual ex post ROR is less than the promised yield-to-maturity when you sell a bond before it matures and the YTM at time of sale is less than the YTM when it was purchased.")</f>
        <v>The actual ex post ROR is less than the promised yield-to-maturity when you sell a bond before it matures and the YTM at time of sale is less than the YTM when it was purchased.</v>
      </c>
    </row>
    <row r="1695" spans="1:4" ht="16" thickBot="1" x14ac:dyDescent="0.4"/>
    <row r="1696" spans="1:4" ht="16.5" thickTop="1" thickBot="1" x14ac:dyDescent="0.4">
      <c r="B1696" s="76" t="str">
        <f ca="1">[1]!alpha_ans($C$1696)</f>
        <v>A</v>
      </c>
      <c r="C1696" s="79" t="str">
        <f ca="1" xml:space="preserve"> "/\" &amp;RANDBETWEEN( 1,5) &amp; "/\" &amp;RANDBETWEEN( 1,3) &amp; "/\" &amp;RANDBETWEEN( 1,2) &amp; "/\" &amp;B1689 &amp; "/\" &amp; B1690 &amp; "/\" &amp; B1691 &amp; "/\" &amp; B1692 &amp; "/\" &amp; B1693 &amp; "/\" &amp; B1694</f>
        <v>/\1/\2/\2/\The actual ex post ROR equals the promised yield-to-maturity when you own the bond until maturity and receive all expected cash flows./\The actual ex post ROR is less than the promised yield-to-maturity when you own the bond until maturity and receive all expected cash flows./\The actual ex post ROR equals the promised yield-to-maturity when you sell a bond before it matures and the YTM at time of sale is the same as when it was purchased./\The actual ex post ROR is less than the promised yield-to-maturity when you sell a bond before it matures and the YTM at time of sale is the same as when it was purchased./\The actual ex post ROR is less than the promised yield-to-maturity when you sell a bond before it matures and the YTM at time of sale exceeds the YTM when it was purchased./\The actual ex post ROR is less than the promised yield-to-maturity when you sell a bond before it matures and the YTM at time of sale is less than the YTM when it was purchased.</v>
      </c>
      <c r="D1696" s="80" t="s">
        <v>1643</v>
      </c>
    </row>
    <row r="1697" spans="1:4" ht="16" thickTop="1" x14ac:dyDescent="0.35">
      <c r="B1697" s="81" t="str">
        <f ca="1">[1]!complexV_A($C$1696)</f>
        <v>The actual ex post ROR equals the promised yield-to-maturity when you own the bond until maturity and receive all expected cash flows.</v>
      </c>
      <c r="C1697" s="82"/>
      <c r="D1697" s="77"/>
    </row>
    <row r="1698" spans="1:4" x14ac:dyDescent="0.35">
      <c r="B1698" s="81" t="str">
        <f ca="1">[1]!complexV_B($C$1696)</f>
        <v>The actual ex post ROR is less than the promised yield-to-maturity when you sell a bond before it matures and the YTM at time of sale is the same as when it was purchased.</v>
      </c>
      <c r="C1698" s="82"/>
      <c r="D1698" s="77"/>
    </row>
    <row r="1699" spans="1:4" x14ac:dyDescent="0.35">
      <c r="B1699" s="81" t="str">
        <f ca="1">[1]!complexV_C($C$1696)</f>
        <v>The actual ex post ROR is less than the promised yield-to-maturity when you sell a bond before it matures and the YTM at time of sale is less than the YTM when it was purchased.</v>
      </c>
      <c r="C1699" s="82"/>
      <c r="D1699" s="77"/>
    </row>
    <row r="1700" spans="1:4" x14ac:dyDescent="0.35">
      <c r="B1700" s="81" t="str">
        <f ca="1">[1]!complexV_D($C$1696)</f>
        <v>Two choices, A and C, are correct</v>
      </c>
      <c r="C1700" s="82"/>
      <c r="D1700" s="77"/>
    </row>
    <row r="1701" spans="1:4" ht="16" thickBot="1" x14ac:dyDescent="0.4">
      <c r="B1701" s="83" t="str">
        <f ca="1">[1]!complexV_E($C$1696)</f>
        <v>None of the A-B-C choices are correct</v>
      </c>
      <c r="C1701" s="84"/>
      <c r="D1701" s="78"/>
    </row>
    <row r="1702" spans="1:4" ht="16" thickTop="1" x14ac:dyDescent="0.35"/>
    <row r="1704" spans="1:4" x14ac:dyDescent="0.35">
      <c r="A1704" s="88" t="s">
        <v>1348</v>
      </c>
    </row>
    <row r="1705" spans="1:4" x14ac:dyDescent="0.35">
      <c r="A1705" s="2" t="s">
        <v>2146</v>
      </c>
      <c r="B1705" s="2" t="s">
        <v>1349</v>
      </c>
    </row>
    <row r="1706" spans="1:4" x14ac:dyDescent="0.35">
      <c r="A1706" s="2" t="s">
        <v>2147</v>
      </c>
      <c r="B1706" s="2" t="str">
        <f ca="1">CHOOSE(RANDBETWEEN(1,2),"When g equals zero percent then the stock’s intrinsic value is greater than div/r.","When g equals zero percent then the stock’s intrinsic value is less than div/r.")</f>
        <v>When g equals zero percent then the stock’s intrinsic value is less than div/r.</v>
      </c>
    </row>
    <row r="1707" spans="1:4" x14ac:dyDescent="0.35">
      <c r="A1707" s="2" t="s">
        <v>2148</v>
      </c>
      <c r="B1707" s="2" t="s">
        <v>1350</v>
      </c>
    </row>
    <row r="1708" spans="1:4" x14ac:dyDescent="0.35">
      <c r="A1708" s="2" t="s">
        <v>2149</v>
      </c>
      <c r="B1708" s="2" t="s">
        <v>1351</v>
      </c>
    </row>
    <row r="1709" spans="1:4" x14ac:dyDescent="0.35">
      <c r="A1709" s="2" t="s">
        <v>2150</v>
      </c>
      <c r="B1709" s="2" t="str">
        <f ca="1">CHOOSE(RANDBETWEEN(1,2),"The stock’s intrinsic value is an increasing function of the dividend growth rate g.","The stock’s intrinsic value is a decreasing function of the discount rate r.")</f>
        <v>The stock’s intrinsic value is a decreasing function of the discount rate r.</v>
      </c>
    </row>
    <row r="1710" spans="1:4" x14ac:dyDescent="0.35">
      <c r="A1710" s="2" t="s">
        <v>2151</v>
      </c>
      <c r="B1710" s="2" t="str">
        <f ca="1">CHOOSE(RANDBETWEEN(1,2),"The stock’s intrinsic value is a decreasing function of the dividend growth rate g.","The stock’s intrinsic value is an increasing function of the discount rate r.")</f>
        <v>The stock’s intrinsic value is an increasing function of the discount rate r.</v>
      </c>
    </row>
    <row r="1711" spans="1:4" ht="16" thickBot="1" x14ac:dyDescent="0.4"/>
    <row r="1712" spans="1:4" ht="16.5" thickTop="1" thickBot="1" x14ac:dyDescent="0.4">
      <c r="B1712" s="76" t="str">
        <f ca="1">[1]!alpha_ans($C$1712)</f>
        <v>B</v>
      </c>
      <c r="C1712" s="79" t="str">
        <f ca="1" xml:space="preserve"> "/\" &amp;RANDBETWEEN( 1,5) &amp; "/\" &amp;RANDBETWEEN( 1,3) &amp; "/\" &amp;RANDBETWEEN( 1,2) &amp; "/\" &amp;B1705 &amp; "/\" &amp; B1706 &amp; "/\" &amp; B1707 &amp; "/\" &amp; B1708 &amp; "/\" &amp; B1709 &amp; "/\" &amp; B1710</f>
        <v>/\2/\1/\1/\When g equals zero percent then the stock’s intrinsic value computes as the present value of a perpetuity, div/r./\When g equals zero percent then the stock’s intrinsic value is less than div/r./\When g exceeds r then the stock’s intrinsic value tends to infinity, meaning the stock is priceless./\When g exceeds r then the stock’s intrinsic value is negative, meaning the stock is worthless./\The stock’s intrinsic value is a decreasing function of the discount rate r./\The stock’s intrinsic value is an increasing function of the discount rate r.</v>
      </c>
      <c r="D1712" s="80" t="s">
        <v>1352</v>
      </c>
    </row>
    <row r="1713" spans="1:4" ht="16" thickTop="1" x14ac:dyDescent="0.35">
      <c r="B1713" s="81" t="str">
        <f ca="1">[1]!complexV_A($C$1712)</f>
        <v>When g equals zero percent then the stock’s intrinsic value is less than div/r.</v>
      </c>
      <c r="C1713" s="82"/>
      <c r="D1713" s="77"/>
    </row>
    <row r="1714" spans="1:4" x14ac:dyDescent="0.35">
      <c r="B1714" s="81" t="str">
        <f ca="1">[1]!complexV_B($C$1712)</f>
        <v>When g exceeds r then the stock’s intrinsic value tends to infinity, meaning the stock is priceless.</v>
      </c>
      <c r="C1714" s="82"/>
      <c r="D1714" s="77"/>
    </row>
    <row r="1715" spans="1:4" x14ac:dyDescent="0.35">
      <c r="B1715" s="81" t="str">
        <f ca="1">[1]!complexV_C($C$1712)</f>
        <v>The stock’s intrinsic value is an increasing function of the discount rate r.</v>
      </c>
      <c r="C1715" s="82"/>
      <c r="D1715" s="77"/>
    </row>
    <row r="1716" spans="1:4" x14ac:dyDescent="0.35">
      <c r="B1716" s="81" t="str">
        <f ca="1">[1]!complexV_D($C$1712)</f>
        <v>Two choices, A and B, are correct</v>
      </c>
      <c r="C1716" s="82"/>
      <c r="D1716" s="77"/>
    </row>
    <row r="1717" spans="1:4" ht="16" thickBot="1" x14ac:dyDescent="0.4">
      <c r="B1717" s="83" t="str">
        <f ca="1">[1]!complexV_E($C$1712)</f>
        <v>The three A-B-C choices are all correct</v>
      </c>
      <c r="C1717" s="84"/>
      <c r="D1717" s="78"/>
    </row>
    <row r="1718" spans="1:4" ht="16" thickTop="1" x14ac:dyDescent="0.35"/>
    <row r="1720" spans="1:4" x14ac:dyDescent="0.35">
      <c r="A1720" s="88" t="s">
        <v>3632</v>
      </c>
    </row>
    <row r="1721" spans="1:4" x14ac:dyDescent="0.35">
      <c r="A1721" s="2" t="s">
        <v>2146</v>
      </c>
      <c r="B1721" s="2" t="str">
        <f ca="1">CHOOSE(RANDBETWEEN(1,2),"When private companies increase their demand for loanable funds then, ceteris paribus, the equilibrium price for risk-free securities declines.","When private companies increase their demand for loanable funds then, ceteris paribus, the equilibrium risk-free rate increases.")</f>
        <v>When private companies increase their demand for loanable funds then, ceteris paribus, the equilibrium risk-free rate increases.</v>
      </c>
    </row>
    <row r="1722" spans="1:4" x14ac:dyDescent="0.35">
      <c r="A1722" s="2" t="s">
        <v>2147</v>
      </c>
      <c r="B1722" s="2" t="str">
        <f ca="1">CHOOSE(RANDBETWEEN(1,2),"When private companies increase their demand for loanable funds then, ceteris paribus, the equilibrium price for risk-free securities increases.","When private companies increase their demand for loanable funds then, ceteris paribus, the equilibrium risk-free rate declines.")</f>
        <v>When private companies increase their demand for loanable funds then, ceteris paribus, the equilibrium risk-free rate declines.</v>
      </c>
    </row>
    <row r="1723" spans="1:4" x14ac:dyDescent="0.35">
      <c r="A1723" s="2" t="s">
        <v>2148</v>
      </c>
      <c r="B1723" s="2" t="str">
        <f ca="1">CHOOSE(RANDBETWEEN(1,2),"When political and economic world events trigger a flight to high quality securities then, ceteris paribus, the equilibrium price for risk-free securities increases.","When political and economic world events trigger a flight to high quality securities then, ceteris paribus, the equilibrium risk-free rate declines.")</f>
        <v>When political and economic world events trigger a flight to high quality securities then, ceteris paribus, the equilibrium price for risk-free securities increases.</v>
      </c>
    </row>
    <row r="1724" spans="1:4" x14ac:dyDescent="0.35">
      <c r="A1724" s="2" t="s">
        <v>2149</v>
      </c>
      <c r="B1724" s="2" t="str">
        <f ca="1">CHOOSE(RANDBETWEEN(1,2),"When political and economic world events trigger a flight to high quality securities then, ceteris paribus, the equilibrium price for risk-free securities declines.","When political and economic world events trigger a flight to high quality securities then, ceteris paribus, the equilibrium risk-free rate increases.")</f>
        <v>When political and economic world events trigger a flight to high quality securities then, ceteris paribus, the equilibrium price for risk-free securities declines.</v>
      </c>
    </row>
    <row r="1725" spans="1:4" x14ac:dyDescent="0.35">
      <c r="A1725" s="2" t="s">
        <v>2150</v>
      </c>
      <c r="B1725" s="2" t="str">
        <f ca="1">CHOOSE(RANDBETWEEN(1,2),"When tax revenues are less than government expenditures and the Treasury issues new securities then, ceteris paribus, the equilibrium price for risk-free securities declines.","When tax revenues are less than government expenditures and the Treasury issues new securities then, ceteris paribus, the equilibrium risk-free rate increases.")</f>
        <v>When tax revenues are less than government expenditures and the Treasury issues new securities then, ceteris paribus, the equilibrium risk-free rate increases.</v>
      </c>
    </row>
    <row r="1726" spans="1:4" x14ac:dyDescent="0.35">
      <c r="A1726" s="2" t="s">
        <v>2151</v>
      </c>
      <c r="B1726" s="2" t="str">
        <f ca="1">CHOOSE(RANDBETWEEN(1,2),"When tax revenues are less than government expenditures and the Treasury issues new securities then, ceteris paribus, the equilibrium price for risk-free securities increases.","When tax revenues are less than government expenditures and the Treasury issues new securities then, ceteris paribus, the equilibrium risk-free rate declines.")</f>
        <v>When tax revenues are less than government expenditures and the Treasury issues new securities then, ceteris paribus, the equilibrium price for risk-free securities increases.</v>
      </c>
    </row>
    <row r="1727" spans="1:4" x14ac:dyDescent="0.35">
      <c r="A1727" s="2" t="s">
        <v>2914</v>
      </c>
      <c r="B1727" s="2" t="str">
        <f ca="1">CHOOSE(RANDBETWEEN(1,2),"When a major foreign world economy decides to sell-off their huge holdings of U.S. Treasury securities then, ceteris paribus, the equilibrium price for risk-free securities declines.","When a major foreign world economy decides to sell-off their huge holdings of U.S. Treasury securities then, ceteris paribus, the equilibrium risk-free rate increases.")</f>
        <v>When a major foreign world economy decides to sell-off their huge holdings of U.S. Treasury securities then, ceteris paribus, the equilibrium price for risk-free securities declines.</v>
      </c>
    </row>
    <row r="1728" spans="1:4" x14ac:dyDescent="0.35">
      <c r="A1728" s="2" t="s">
        <v>2915</v>
      </c>
      <c r="B1728" s="2" t="str">
        <f ca="1">CHOOSE(RANDBETWEEN(1,2),"When a major foreign world economy decides to sell-off their huge holdings of U.S. Treasury securities then, ceteris paribus, the equilibrium price for risk-free securities increases.","When a major foreign world economy decides to sell-off their huge holdings of U.S. Treasury securities then, ceteris paribus, the equilibrium risk-free rate declines.")</f>
        <v>When a major foreign world economy decides to sell-off their huge holdings of U.S. Treasury securities then, ceteris paribus, the equilibrium risk-free rate declines.</v>
      </c>
    </row>
    <row r="1729" spans="1:4" x14ac:dyDescent="0.35">
      <c r="A1729" s="2" t="s">
        <v>2916</v>
      </c>
      <c r="B1729" s="2" t="str">
        <f ca="1">CHOOSE(RANDBETWEEN(1,2),"When an economic contraction causes a reduction in the availability of private credit market securities then, ceteris paribus, the equilibrium price for risk-free securities increases.","When an economic contraction causes a reduction in the availability of private credit market securities then, ceteris paribus, the equilibrium risk-free rate declines.")</f>
        <v>When an economic contraction causes a reduction in the availability of private credit market securities then, ceteris paribus, the equilibrium price for risk-free securities increases.</v>
      </c>
    </row>
    <row r="1730" spans="1:4" x14ac:dyDescent="0.35">
      <c r="A1730" s="2" t="s">
        <v>2917</v>
      </c>
      <c r="B1730" s="2" t="str">
        <f ca="1">CHOOSE(RANDBETWEEN(1,2),"When an economic contraction causes a reduction in the availability of private credit market securities then, ceteris paribus, the equilibrium price for risk-free securities declines.","When an economic contraction causes a reduction in the availability of private credit market securities then, ceteris paribus, the equilibrium risk-free rate increases.")</f>
        <v>When an economic contraction causes a reduction in the availability of private credit market securities then, ceteris paribus, the equilibrium risk-free rate increases.</v>
      </c>
    </row>
    <row r="1731" spans="1:4" ht="16" thickBot="1" x14ac:dyDescent="0.4"/>
    <row r="1732" spans="1:4" ht="16.5" thickTop="1" thickBot="1" x14ac:dyDescent="0.4">
      <c r="B1732" s="76" t="str">
        <f ca="1">[1]!alpha_ans($C$1732)</f>
        <v>A</v>
      </c>
      <c r="C1732" s="79" t="str">
        <f ca="1" xml:space="preserve"> "/\" &amp;RANDBETWEEN( 1,5) &amp; "/\" &amp;RANDBETWEEN( 1,120) &amp; "/\" &amp;B1721 &amp; "/\" &amp; B1722 &amp; "/\" &amp; B1723 &amp; "/\" &amp; B1724 &amp; "/\" &amp; B1725 &amp; "/\" &amp; B1726 &amp; "/\" &amp; B1727 &amp; "/\" &amp; B1728 &amp; "/\" &amp; B1729 &amp; "/\" &amp; B1730</f>
        <v>/\1/\116/\When private companies increase their demand for loanable funds then, ceteris paribus, the equilibrium risk-free rate increases./\When private companies increase their demand for loanable funds then, ceteris paribus, the equilibrium risk-free rate declines./\When political and economic world events trigger a flight to high quality securities then, ceteris paribus, the equilibrium price for risk-free securities increases./\When political and economic world events trigger a flight to high quality securities then, ceteris paribus, the equilibrium price for risk-free securities declines./\When tax revenues are less than government expenditures and the Treasury issues new securities then, ceteris paribus, the equilibrium risk-free rate increases./\When tax revenues are less than government expenditures and the Treasury issues new securities then, ceteris paribus, the equilibrium price for risk-free securities increases./\When a major foreign world economy decides to sell-off their huge holdings of U.S. Treasury securities then, ceteris paribus, the equilibrium price for risk-free securities declines./\When a major foreign world economy decides to sell-off their huge holdings of U.S. Treasury securities then, ceteris paribus, the equilibrium risk-free rate declines./\When an economic contraction causes a reduction in the availability of private credit market securities then, ceteris paribus, the equilibrium price for risk-free securities increases./\When an economic contraction causes a reduction in the availability of private credit market securities then, ceteris paribus, the equilibrium risk-free rate increases.</v>
      </c>
      <c r="D1732" s="80" t="s">
        <v>3633</v>
      </c>
    </row>
    <row r="1733" spans="1:4" ht="16" thickTop="1" x14ac:dyDescent="0.35">
      <c r="B1733" s="81" t="str">
        <f ca="1">[1]!standardV_A($C$1732)</f>
        <v>When an economic contraction causes a reduction in the availability of private credit market securities then, ceteris paribus, the equilibrium price for risk-free securities increases.</v>
      </c>
      <c r="C1733" s="82"/>
      <c r="D1733" s="77"/>
    </row>
    <row r="1734" spans="1:4" x14ac:dyDescent="0.35">
      <c r="B1734" s="81" t="str">
        <f ca="1">[1]!standardV_B($C$1732)</f>
        <v>When a major foreign world economy decides to sell-off their huge holdings of U.S. Treasury securities then, ceteris paribus, the equilibrium risk-free rate declines.</v>
      </c>
      <c r="C1734" s="82"/>
      <c r="D1734" s="77"/>
    </row>
    <row r="1735" spans="1:4" x14ac:dyDescent="0.35">
      <c r="B1735" s="81" t="str">
        <f ca="1">[1]!standardV_C($C$1732)</f>
        <v>When private companies increase their demand for loanable funds then, ceteris paribus, the equilibrium risk-free rate declines.</v>
      </c>
      <c r="C1735" s="82"/>
      <c r="D1735" s="77"/>
    </row>
    <row r="1736" spans="1:4" x14ac:dyDescent="0.35">
      <c r="B1736" s="81" t="str">
        <f ca="1">[1]!standardV_D($C$1732)</f>
        <v>When tax revenues are less than government expenditures and the Treasury issues new securities then, ceteris paribus, the equilibrium price for risk-free securities increases.</v>
      </c>
      <c r="C1736" s="82"/>
      <c r="D1736" s="77"/>
    </row>
    <row r="1737" spans="1:4" ht="16" thickBot="1" x14ac:dyDescent="0.4">
      <c r="B1737" s="83" t="str">
        <f ca="1">[1]!standardV_E($C$1732)</f>
        <v>When political and economic world events trigger a flight to high quality securities then, ceteris paribus, the equilibrium price for risk-free securities declines.</v>
      </c>
      <c r="C1737" s="84"/>
      <c r="D1737" s="78"/>
    </row>
    <row r="1738" spans="1:4" ht="16" thickTop="1" x14ac:dyDescent="0.35"/>
    <row r="1740" spans="1:4" x14ac:dyDescent="0.35">
      <c r="A1740" s="88" t="s">
        <v>3085</v>
      </c>
    </row>
    <row r="1741" spans="1:4" x14ac:dyDescent="0.35">
      <c r="A1741" s="2" t="s">
        <v>2146</v>
      </c>
      <c r="B1741" s="2" t="s">
        <v>3079</v>
      </c>
    </row>
    <row r="1742" spans="1:4" x14ac:dyDescent="0.35">
      <c r="A1742" s="2" t="s">
        <v>2147</v>
      </c>
      <c r="B1742" s="2" t="str">
        <f ca="1">CHOOSE(RANDBETWEEN(1,2),"Double taxation refers to when a sole proprietor pays taxes on his/her business profits, and then also must pay individual taxes on the same profit.","Double taxation refers to when a corporation pays taxes on profits, and then pays wages to labor, and then labor also must pay individual taxes on the wages.")</f>
        <v>Double taxation refers to when a sole proprietor pays taxes on his/her business profits, and then also must pay individual taxes on the same profit.</v>
      </c>
    </row>
    <row r="1743" spans="1:4" x14ac:dyDescent="0.35">
      <c r="A1743" s="2" t="s">
        <v>2148</v>
      </c>
      <c r="B1743" s="2" t="s">
        <v>3080</v>
      </c>
    </row>
    <row r="1744" spans="1:4" x14ac:dyDescent="0.35">
      <c r="A1744" s="2" t="s">
        <v>2149</v>
      </c>
      <c r="B1744" s="2" t="s">
        <v>3081</v>
      </c>
    </row>
    <row r="1745" spans="1:4" x14ac:dyDescent="0.35">
      <c r="A1745" s="2" t="s">
        <v>2150</v>
      </c>
      <c r="B1745" s="2" t="s">
        <v>3082</v>
      </c>
    </row>
    <row r="1746" spans="1:4" x14ac:dyDescent="0.35">
      <c r="A1746" s="2" t="s">
        <v>2151</v>
      </c>
      <c r="B1746" s="2" t="s">
        <v>3083</v>
      </c>
    </row>
    <row r="1747" spans="1:4" ht="16" thickBot="1" x14ac:dyDescent="0.4"/>
    <row r="1748" spans="1:4" ht="16.5" thickTop="1" thickBot="1" x14ac:dyDescent="0.4">
      <c r="B1748" s="76" t="str">
        <f ca="1">[1]!alpha_ans($C$1748)</f>
        <v>A</v>
      </c>
      <c r="C1748" s="79" t="str">
        <f ca="1" xml:space="preserve"> "/\" &amp;RANDBETWEEN( 1,5) &amp; "/\" &amp;RANDBETWEEN( 1,3) &amp; "/\" &amp;RANDBETWEEN( 1,2) &amp; "/\" &amp;B1741 &amp; "/\" &amp; B1742 &amp; "/\" &amp; B1743 &amp; "/\" &amp; B1744 &amp; "/\" &amp; B1745 &amp; "/\" &amp; B1746</f>
        <v>/\1/\3/\1/\Double taxation refers to when US corporations pay taxes on profits, distribute the profits to capitalists, and then capitalists pay taxes on the distribution./\Double taxation refers to when a sole proprietor pays taxes on his/her business profits, and then also must pay individual taxes on the same profit./\Economists persuasively argue that double-taxation biases the allocation of capital and makes the economy less wealthy./\Economists persuasively argue that double-taxation enables government spending that makes the citizens safer and more secure./\Economic studies find that if double-taxation were abolished then payments from the business sector to stakeholders and capitalists would increase./\Economic studies find that if double-taxation were abolished then payments from the business sector to stakeholders and capitalists would decrease.</v>
      </c>
      <c r="D1748" s="80" t="s">
        <v>3084</v>
      </c>
    </row>
    <row r="1749" spans="1:4" ht="16" thickTop="1" x14ac:dyDescent="0.35">
      <c r="B1749" s="81" t="str">
        <f ca="1">[1]!complexV_A($C$1748)</f>
        <v>Double taxation refers to when US corporations pay taxes on profits, distribute the profits to capitalists, and then capitalists pay taxes on the distribution.</v>
      </c>
      <c r="C1749" s="82"/>
      <c r="D1749" s="77"/>
    </row>
    <row r="1750" spans="1:4" x14ac:dyDescent="0.35">
      <c r="B1750" s="81" t="str">
        <f ca="1">[1]!complexV_B($C$1748)</f>
        <v>Economists persuasively argue that double-taxation enables government spending that makes the citizens safer and more secure.</v>
      </c>
      <c r="C1750" s="82"/>
      <c r="D1750" s="77"/>
    </row>
    <row r="1751" spans="1:4" x14ac:dyDescent="0.35">
      <c r="B1751" s="81" t="str">
        <f ca="1">[1]!complexV_C($C$1748)</f>
        <v>Economic studies find that if double-taxation were abolished then payments from the business sector to stakeholders and capitalists would decrease.</v>
      </c>
      <c r="C1751" s="82"/>
      <c r="D1751" s="77"/>
    </row>
    <row r="1752" spans="1:4" x14ac:dyDescent="0.35">
      <c r="B1752" s="81" t="str">
        <f ca="1">[1]!complexV_D($C$1748)</f>
        <v>Two choices, B and C, are correct</v>
      </c>
      <c r="C1752" s="82"/>
      <c r="D1752" s="77"/>
    </row>
    <row r="1753" spans="1:4" ht="16" thickBot="1" x14ac:dyDescent="0.4">
      <c r="B1753" s="83" t="str">
        <f ca="1">[1]!complexV_E($C$1748)</f>
        <v>The three A-B-C choices are all correct</v>
      </c>
      <c r="C1753" s="84"/>
      <c r="D1753" s="78"/>
    </row>
    <row r="1754" spans="1:4" ht="16" thickTop="1" x14ac:dyDescent="0.35"/>
    <row r="1756" spans="1:4" x14ac:dyDescent="0.35">
      <c r="A1756" s="88" t="s">
        <v>1004</v>
      </c>
    </row>
    <row r="1757" spans="1:4" x14ac:dyDescent="0.35">
      <c r="A1757" s="2" t="s">
        <v>785</v>
      </c>
      <c r="B1757" s="2" t="str">
        <f ca="1">CHOOSE(RANDBETWEEN(1,2),"On an average day the dollar trading volume of all bonds traded in the U.S.A. is significantly greater than the dollar trading volume of all stocks in the U.S.A.","On an average day the dollar trading volume of all stocks traded in the U.S.A. is significantly less than the dollar trading volume of all bonds in the U.S.A.")</f>
        <v>On an average day the dollar trading volume of all bonds traded in the U.S.A. is significantly greater than the dollar trading volume of all stocks in the U.S.A.</v>
      </c>
    </row>
    <row r="1758" spans="1:4" x14ac:dyDescent="0.35">
      <c r="A1758" s="2" t="s">
        <v>786</v>
      </c>
      <c r="B1758" s="2" t="str">
        <f ca="1">CHOOSE(RANDBETWEEN(1,2),"On an average day the dollar trading volume of all bonds traded in the U.S.A. is significantly less than the dollar trading volume of all stocks in the U.S.A.","On an average day the dollar trading volume of all stocks traded in the U.S.A. is significantly greater than the dollar trading volume of all bonds in the U.S.A.")</f>
        <v>On an average day the dollar trading volume of all bonds traded in the U.S.A. is significantly less than the dollar trading volume of all stocks in the U.S.A.</v>
      </c>
    </row>
    <row r="1759" spans="1:4" ht="16" thickBot="1" x14ac:dyDescent="0.4"/>
    <row r="1760" spans="1:4" ht="16.5" thickTop="1" thickBot="1" x14ac:dyDescent="0.4">
      <c r="B1760" s="76" t="str">
        <f ca="1">[1]!stdtf_ans($C$1760)</f>
        <v>A</v>
      </c>
      <c r="C1760" s="79" t="str">
        <f ca="1" xml:space="preserve"> "/\" &amp;RANDBETWEEN( 1,2) &amp; "/\" &amp; B1757 &amp; "/\" &amp; B1758</f>
        <v>/\1/\On an average day the dollar trading volume of all bonds traded in the U.S.A. is significantly greater than the dollar trading volume of all stocks in the U.S.A./\On an average day the dollar trading volume of all bonds traded in the U.S.A. is significantly less than the dollar trading volume of all stocks in the U.S.A.</v>
      </c>
      <c r="D1760" s="80" t="s">
        <v>1005</v>
      </c>
    </row>
    <row r="1761" spans="1:12" ht="16.5" thickTop="1" thickBot="1" x14ac:dyDescent="0.4">
      <c r="B1761" s="83" t="str">
        <f ca="1">[1]!stdtf_q($C$1760)</f>
        <v>On an average day the dollar trading volume of all bonds traded in the U.S.A. is significantly greater than the dollar trading volume of all stocks in the U.S.A.</v>
      </c>
      <c r="C1761" s="84"/>
      <c r="D1761" s="78"/>
    </row>
    <row r="1762" spans="1:12" ht="16" thickTop="1" x14ac:dyDescent="0.35"/>
    <row r="1764" spans="1:12" x14ac:dyDescent="0.35">
      <c r="A1764" s="88" t="s">
        <v>2373</v>
      </c>
    </row>
    <row r="1765" spans="1:12" x14ac:dyDescent="0.35">
      <c r="A1765" s="8">
        <f ca="1">RANDBETWEEN(5,18)*7</f>
        <v>70</v>
      </c>
      <c r="B1765" s="2" t="s">
        <v>2374</v>
      </c>
      <c r="E1765" s="94">
        <f ca="1">(A1768+A1769*A1770/A1771)/2</f>
        <v>64.5</v>
      </c>
      <c r="F1765" s="2" t="s">
        <v>2375</v>
      </c>
    </row>
    <row r="1766" spans="1:12" x14ac:dyDescent="0.35">
      <c r="A1766" s="8">
        <f ca="1">RANDBETWEEN(7,18)*8</f>
        <v>80</v>
      </c>
      <c r="B1766" s="2" t="s">
        <v>2376</v>
      </c>
      <c r="E1766" s="115">
        <f ca="1">(A1768+A1769)/E1765</f>
        <v>1.7364341085271318</v>
      </c>
      <c r="F1766" s="2" t="s">
        <v>2377</v>
      </c>
    </row>
    <row r="1767" spans="1:12" x14ac:dyDescent="0.35">
      <c r="A1767" s="35">
        <f ca="1">(A1765+A1766)/2</f>
        <v>75</v>
      </c>
      <c r="B1767" s="2" t="s">
        <v>2378</v>
      </c>
      <c r="E1767" s="10">
        <f ca="1">A1769*A1770/A1771</f>
        <v>68</v>
      </c>
      <c r="F1767" s="2" t="s">
        <v>2379</v>
      </c>
    </row>
    <row r="1768" spans="1:12" x14ac:dyDescent="0.35">
      <c r="A1768" s="8">
        <f ca="1">A1765+(IF(RANDBETWEEN(0,1)=0,1,-1))*RANDBETWEEN(1,3)*3</f>
        <v>61</v>
      </c>
      <c r="B1768" s="2" t="s">
        <v>2380</v>
      </c>
    </row>
    <row r="1769" spans="1:12" x14ac:dyDescent="0.35">
      <c r="A1769" s="8">
        <f ca="1">C1769+(IF(RANDBETWEEN(0,1)=0,1,-1))*RANDBETWEEN(1,3)*3</f>
        <v>51</v>
      </c>
      <c r="B1769" s="2" t="s">
        <v>2381</v>
      </c>
      <c r="C1769" s="2">
        <f ca="1">ROUND(A1766*A1771/A1770,0)</f>
        <v>60</v>
      </c>
    </row>
    <row r="1770" spans="1:12" x14ac:dyDescent="0.35">
      <c r="A1770" s="2">
        <f ca="1">A1771+RANDBETWEEN(1,A1771)</f>
        <v>4</v>
      </c>
      <c r="B1770" s="2" t="s">
        <v>1182</v>
      </c>
    </row>
    <row r="1771" spans="1:12" x14ac:dyDescent="0.35">
      <c r="A1771" s="2">
        <f ca="1">RANDBETWEEN(1,5)</f>
        <v>3</v>
      </c>
      <c r="B1771" s="2" t="s">
        <v>1183</v>
      </c>
      <c r="D1771" s="2" t="str">
        <f ca="1">A1770&amp;"-for-"&amp;A1771</f>
        <v>4-for-3</v>
      </c>
    </row>
    <row r="1773" spans="1:12" ht="16" thickBot="1" x14ac:dyDescent="0.4">
      <c r="B1773" s="88" t="s">
        <v>2382</v>
      </c>
      <c r="F1773" s="88" t="s">
        <v>2383</v>
      </c>
      <c r="J1773" s="88" t="s">
        <v>2384</v>
      </c>
    </row>
    <row r="1774" spans="1:12" ht="16.5" thickTop="1" thickBot="1" x14ac:dyDescent="0.4">
      <c r="B1774" s="76" t="str">
        <f ca="1">[1]!std_ans($C$1774)</f>
        <v>E</v>
      </c>
      <c r="C1774" s="79" t="str">
        <f ca="1" xml:space="preserve"> "/\" &amp;RANDBETWEEN( 1,120) &amp; "/\" &amp;RANDBETWEEN( 1,120) &amp; "/\" &amp;0.1 &amp; "/\" &amp; E1765</f>
        <v>/\96/\74/\0.1/\64.5</v>
      </c>
      <c r="D1774" s="80" t="s">
        <v>2385</v>
      </c>
      <c r="F1774" s="76" t="str">
        <f ca="1">[1]!std_ans($G$1774)</f>
        <v>E</v>
      </c>
      <c r="G1774" s="79" t="str">
        <f ca="1" xml:space="preserve"> "/\" &amp;RANDBETWEEN( 1,120) &amp; "/\" &amp;RANDBETWEEN( 1,120) &amp; "/\" &amp;0.1 &amp; "/\" &amp; E1766</f>
        <v>/\46/\119/\0.1/\1.73643410852713</v>
      </c>
      <c r="H1774" s="80" t="s">
        <v>2386</v>
      </c>
      <c r="J1774" s="76" t="str">
        <f ca="1">[1]!alpha_ans($K$1774)</f>
        <v>A</v>
      </c>
      <c r="K1774" s="79" t="str">
        <f ca="1" xml:space="preserve"> "/\" &amp;RANDBETWEEN( 1,5) &amp; "/\" &amp;RANDBETWEEN( 1,120) &amp; "/\" &amp;RANDBETWEEN( 1,6) &amp; "/\" &amp;RANDBETWEEN( 1,2) &amp; "/\" &amp; E1765 &amp; "/\" &amp; "Mask" &amp; "/\" &amp; "Mask" &amp; "/\" &amp; E1766 &amp; "/\" &amp; "Mask"</f>
        <v>/\1/\77/\5/\1/\64.5/\Mask/\Mask/\1.73643410852713/\Mask</v>
      </c>
      <c r="L1774" s="80" t="s">
        <v>2387</v>
      </c>
    </row>
    <row r="1775" spans="1:12" ht="16" thickTop="1" x14ac:dyDescent="0.35">
      <c r="B1775" s="365">
        <f ca="1">[1]!stdnum_A($C$1774)</f>
        <v>70.95</v>
      </c>
      <c r="C1775" s="82"/>
      <c r="D1775" s="77"/>
      <c r="F1775" s="116">
        <f ca="1">[1]!stdnum_A($G$1774)</f>
        <v>1.5785764622973908</v>
      </c>
      <c r="G1775" s="82"/>
      <c r="H1775" s="77"/>
      <c r="J1775" s="365">
        <f ca="1">[1]!onepair_A($K$1774)</f>
        <v>64.5</v>
      </c>
      <c r="K1775" s="117">
        <f ca="1">[1]!onepair_A2($K$1774)</f>
        <v>1.73643410852713</v>
      </c>
      <c r="L1775" s="77"/>
    </row>
    <row r="1776" spans="1:12" x14ac:dyDescent="0.35">
      <c r="B1776" s="365">
        <f ca="1">[1]!stdnum_B($C$1774)</f>
        <v>58.636363636363633</v>
      </c>
      <c r="C1776" s="82"/>
      <c r="D1776" s="77"/>
      <c r="F1776" s="116">
        <f ca="1">[1]!stdnum_B($G$1774)</f>
        <v>1.304608646526769</v>
      </c>
      <c r="G1776" s="82"/>
      <c r="H1776" s="77"/>
      <c r="J1776" s="365">
        <f ca="1">[1]!onepair_B($K$1774)</f>
        <v>64.5</v>
      </c>
      <c r="K1776" s="117">
        <f ca="1">[1]!onepair_B2($K$1774)</f>
        <v>1.50994270306707</v>
      </c>
      <c r="L1776" s="77"/>
    </row>
    <row r="1777" spans="1:12" x14ac:dyDescent="0.35">
      <c r="B1777" s="365">
        <f ca="1">[1]!stdnum_C($C$1774)</f>
        <v>53.305785123966935</v>
      </c>
      <c r="C1777" s="82"/>
      <c r="D1777" s="77"/>
      <c r="F1777" s="116">
        <f ca="1">[1]!stdnum_C($G$1774)</f>
        <v>1.435069511179446</v>
      </c>
      <c r="G1777" s="82"/>
      <c r="H1777" s="77"/>
      <c r="J1777" s="365">
        <f ca="1">[1]!onepair_C($K$1774)</f>
        <v>56.086956521739097</v>
      </c>
      <c r="K1777" s="117">
        <f ca="1">[1]!onepair_C2($K$1774)</f>
        <v>1.50994270306707</v>
      </c>
      <c r="L1777" s="77"/>
    </row>
    <row r="1778" spans="1:12" x14ac:dyDescent="0.35">
      <c r="B1778" s="365">
        <f ca="1">[1]!stdnum_D($C$1774)</f>
        <v>48.459804658151754</v>
      </c>
      <c r="C1778" s="82"/>
      <c r="D1778" s="77"/>
      <c r="F1778" s="116">
        <f ca="1">[1]!stdnum_D($G$1774)</f>
        <v>1.1860078604788808</v>
      </c>
      <c r="G1778" s="82"/>
      <c r="H1778" s="77"/>
      <c r="J1778" s="365">
        <f ca="1">[1]!onepair_D($K$1774)</f>
        <v>48.771266540642699</v>
      </c>
      <c r="K1778" s="117">
        <f ca="1">[1]!onepair_D2($K$1774)</f>
        <v>1.73643410852713</v>
      </c>
      <c r="L1778" s="77"/>
    </row>
    <row r="1779" spans="1:12" ht="16" thickBot="1" x14ac:dyDescent="0.4">
      <c r="B1779" s="366">
        <f ca="1">[1]!stdnum_E($C$1774)</f>
        <v>64.5</v>
      </c>
      <c r="C1779" s="84"/>
      <c r="D1779" s="78"/>
      <c r="F1779" s="118">
        <f ca="1">[1]!stdnum_E($G$1774)</f>
        <v>1.73643410852713</v>
      </c>
      <c r="G1779" s="84"/>
      <c r="H1779" s="78"/>
      <c r="J1779" s="366">
        <f ca="1">[1]!onepair_E($K$1774)</f>
        <v>48.771266540642699</v>
      </c>
      <c r="K1779" s="119">
        <f ca="1">[1]!onepair_E2($K$1774)</f>
        <v>1.50994270306707</v>
      </c>
      <c r="L1779" s="78"/>
    </row>
    <row r="1780" spans="1:12" ht="16" thickTop="1" x14ac:dyDescent="0.35"/>
    <row r="1782" spans="1:12" x14ac:dyDescent="0.35">
      <c r="A1782" s="88" t="s">
        <v>17</v>
      </c>
    </row>
    <row r="1783" spans="1:12" x14ac:dyDescent="0.35">
      <c r="A1783" s="2" t="s">
        <v>2146</v>
      </c>
      <c r="B1783" s="2" t="s">
        <v>1689</v>
      </c>
    </row>
    <row r="1784" spans="1:12" x14ac:dyDescent="0.35">
      <c r="A1784" s="2" t="s">
        <v>2147</v>
      </c>
      <c r="B1784" s="2" t="s">
        <v>1690</v>
      </c>
    </row>
    <row r="1785" spans="1:12" x14ac:dyDescent="0.35">
      <c r="A1785" s="2" t="s">
        <v>2148</v>
      </c>
      <c r="B1785" s="2" t="s">
        <v>1691</v>
      </c>
    </row>
    <row r="1786" spans="1:12" x14ac:dyDescent="0.35">
      <c r="A1786" s="2" t="s">
        <v>2149</v>
      </c>
      <c r="B1786" s="2" t="s">
        <v>1692</v>
      </c>
    </row>
    <row r="1787" spans="1:12" x14ac:dyDescent="0.35">
      <c r="A1787" s="2" t="s">
        <v>2150</v>
      </c>
      <c r="B1787" s="2" t="s">
        <v>14</v>
      </c>
    </row>
    <row r="1788" spans="1:12" x14ac:dyDescent="0.35">
      <c r="A1788" s="2" t="s">
        <v>2151</v>
      </c>
      <c r="B1788" s="2" t="s">
        <v>15</v>
      </c>
    </row>
    <row r="1789" spans="1:12" ht="16" thickBot="1" x14ac:dyDescent="0.4"/>
    <row r="1790" spans="1:12" ht="16.5" thickTop="1" thickBot="1" x14ac:dyDescent="0.4">
      <c r="B1790" s="76" t="str">
        <f ca="1">[1]!alpha_ans($C$1790)</f>
        <v>E</v>
      </c>
      <c r="C1790" s="79" t="str">
        <f ca="1" xml:space="preserve"> "/\" &amp;RANDBETWEEN( 1,5) &amp; "/\" &amp;RANDBETWEEN( 1,3) &amp; "/\" &amp;RANDBETWEEN( 1,2) &amp; "/\" &amp;B1783 &amp; "/\" &amp; B1784 &amp; "/\" &amp; B1785 &amp; "/\" &amp; B1786 &amp; "/\" &amp; B1787 &amp; "/\" &amp; B1788</f>
        <v>/\5/\1/\1/\There is increased recognition among households and institutions that valuable diversification benefits accrue from owning many securities and hence portfolio composition and requisite trading is becoming more complex./\Households with increased access to computerized trading have been able to easily execute large trades for larger numbers of stocks./\During recent decades the management of equity portfolios has become increasingly concentrated into financial institutions, such as pension or mutual funds, and trading behavior has become more sophisticated./\During recent decades the management of equity portfolios has shifted away from financial institutions and into individual households that manage their own pension or mutual funds./\Technological advancements of recent decades have made sophisticated trading more possible./\The Penny Stock Reform Act during the 1990s commanded the Securities Exchange Commission to increase the transparency of program trading.</v>
      </c>
      <c r="D1790" s="80" t="s">
        <v>16</v>
      </c>
    </row>
    <row r="1791" spans="1:12" ht="16" thickTop="1" x14ac:dyDescent="0.35">
      <c r="B1791" s="81" t="str">
        <f ca="1">[1]!complexV_A($C$1790)</f>
        <v>There is increased recognition among households and institutions that valuable diversification benefits accrue from owning many securities and hence portfolio composition and requisite trading is becoming more complex.</v>
      </c>
      <c r="C1791" s="82"/>
      <c r="D1791" s="77"/>
    </row>
    <row r="1792" spans="1:12" x14ac:dyDescent="0.35">
      <c r="B1792" s="81" t="str">
        <f ca="1">[1]!complexV_B($C$1790)</f>
        <v>During recent decades the management of equity portfolios has become increasingly concentrated into financial institutions, such as pension or mutual funds, and trading behavior has become more sophisticated.</v>
      </c>
      <c r="C1792" s="82"/>
      <c r="D1792" s="77"/>
    </row>
    <row r="1793" spans="1:4" x14ac:dyDescent="0.35">
      <c r="B1793" s="81" t="str">
        <f ca="1">[1]!complexV_C($C$1790)</f>
        <v>Technological advancements of recent decades have made sophisticated trading more possible.</v>
      </c>
      <c r="C1793" s="82"/>
      <c r="D1793" s="77"/>
    </row>
    <row r="1794" spans="1:4" x14ac:dyDescent="0.35">
      <c r="B1794" s="81" t="str">
        <f ca="1">[1]!complexV_D($C$1790)</f>
        <v>Two choices, A and B, are correct</v>
      </c>
      <c r="C1794" s="82"/>
      <c r="D1794" s="77"/>
    </row>
    <row r="1795" spans="1:4" ht="16" thickBot="1" x14ac:dyDescent="0.4">
      <c r="B1795" s="83" t="str">
        <f ca="1">[1]!complexV_E($C$1790)</f>
        <v>The three A-B-C choices are all correct</v>
      </c>
      <c r="C1795" s="84"/>
      <c r="D1795" s="78"/>
    </row>
    <row r="1796" spans="1:4" ht="16" thickTop="1" x14ac:dyDescent="0.35"/>
    <row r="1798" spans="1:4" x14ac:dyDescent="0.35">
      <c r="A1798" s="88" t="s">
        <v>1889</v>
      </c>
    </row>
    <row r="1799" spans="1:4" x14ac:dyDescent="0.35">
      <c r="A1799" s="2" t="s">
        <v>1886</v>
      </c>
      <c r="B1799" s="2" t="str">
        <f ca="1">CHOOSE(RANDBETWEEN(1,2),"ρ represents the proportion of security X risk σx that merits compensation.","1 - ρ represents the proportion of security X risk σx that vanishes and does not merit compensation.")</f>
        <v>ρ represents the proportion of security X risk σx that merits compensation.</v>
      </c>
    </row>
    <row r="1800" spans="1:4" x14ac:dyDescent="0.35">
      <c r="A1800" s="2" t="s">
        <v>1887</v>
      </c>
      <c r="B1800" s="2" t="str">
        <f ca="1">CHOOSE(RANDBETWEEN(1,2),"ρ represents the proportion of security X risk σx that vanishes and does not merit compensation.","1 - ρ represents the proportion of security X risk σx that merits compensation.")</f>
        <v>1 - ρ represents the proportion of security X risk σx that merits compensation.</v>
      </c>
    </row>
    <row r="1801" spans="1:4" ht="16" thickBot="1" x14ac:dyDescent="0.4"/>
    <row r="1802" spans="1:4" ht="16.5" thickTop="1" thickBot="1" x14ac:dyDescent="0.4">
      <c r="B1802" s="76" t="str">
        <f ca="1">[1]!stdtf_ans($C$1802)</f>
        <v>A</v>
      </c>
      <c r="C1802" s="79" t="str">
        <f ca="1" xml:space="preserve"> "/\" &amp;RANDBETWEEN( 1,2) &amp; "/\" &amp; B1799 &amp; "/\" &amp; B1800</f>
        <v>/\1/\ρ represents the proportion of security X risk σx that merits compensation./\1 - ρ represents the proportion of security X risk σx that merits compensation.</v>
      </c>
      <c r="D1802" s="80" t="s">
        <v>1888</v>
      </c>
    </row>
    <row r="1803" spans="1:4" ht="16.5" thickTop="1" thickBot="1" x14ac:dyDescent="0.4">
      <c r="B1803" s="83" t="str">
        <f ca="1">[1]!stdtf_q($C$1802)</f>
        <v>ρ represents the proportion of security X risk σx that merits compensation.</v>
      </c>
      <c r="C1803" s="84"/>
      <c r="D1803" s="78"/>
    </row>
    <row r="1804" spans="1:4" ht="16" thickTop="1" x14ac:dyDescent="0.35"/>
    <row r="1806" spans="1:4" x14ac:dyDescent="0.35">
      <c r="A1806" s="88" t="s">
        <v>1475</v>
      </c>
    </row>
    <row r="1807" spans="1:4" x14ac:dyDescent="0.35">
      <c r="A1807" s="2" t="s">
        <v>2146</v>
      </c>
      <c r="B1807" s="2" t="s">
        <v>1476</v>
      </c>
    </row>
    <row r="1808" spans="1:4" x14ac:dyDescent="0.35">
      <c r="A1808" s="2" t="s">
        <v>2147</v>
      </c>
      <c r="B1808" s="2" t="s">
        <v>3156</v>
      </c>
    </row>
    <row r="1809" spans="1:4" x14ac:dyDescent="0.35">
      <c r="A1809" s="2" t="s">
        <v>2148</v>
      </c>
      <c r="B1809" s="2" t="s">
        <v>3157</v>
      </c>
    </row>
    <row r="1810" spans="1:4" x14ac:dyDescent="0.35">
      <c r="A1810" s="2" t="s">
        <v>2149</v>
      </c>
      <c r="B1810" s="2" t="s">
        <v>3161</v>
      </c>
    </row>
    <row r="1811" spans="1:4" x14ac:dyDescent="0.35">
      <c r="A1811" s="2" t="s">
        <v>2150</v>
      </c>
      <c r="B1811" s="2" t="s">
        <v>3158</v>
      </c>
    </row>
    <row r="1812" spans="1:4" x14ac:dyDescent="0.35">
      <c r="A1812" s="2" t="s">
        <v>2151</v>
      </c>
      <c r="B1812" s="2" t="s">
        <v>3159</v>
      </c>
    </row>
    <row r="1813" spans="1:4" ht="16" thickBot="1" x14ac:dyDescent="0.4"/>
    <row r="1814" spans="1:4" ht="16.5" thickTop="1" thickBot="1" x14ac:dyDescent="0.4">
      <c r="B1814" s="76" t="str">
        <f ca="1">[1]!alpha_ans($C$1814)</f>
        <v>E</v>
      </c>
      <c r="C1814" s="79" t="str">
        <f ca="1" xml:space="preserve"> "/\" &amp;RANDBETWEEN( 1,5) &amp; "/\" &amp;RANDBETWEEN( 1,3) &amp; "/\" &amp;RANDBETWEEN( 1,2) &amp; "/\" &amp;B1807 &amp; "/\" &amp; B1808 &amp; "/\" &amp; B1809 &amp; "/\" &amp; B1810 &amp; "/\" &amp; B1811 &amp; "/\" &amp; B1812</f>
        <v>/\5/\1/\2/\The official government “discount rate” is the interest rate charged by Federal Reserve District banks to member public and private banks./\The official government “federal funds rate” is the interest rate charged by Federal Reserve District banks to member public and private banks./\The reserve requirement on member bank accounts regulates the amount of loans that banks may lend to business and individual borrowers./\The reserve requirement on member bank accounts regulates the amount of deposits that banks may borrow from business and individual depositors./\Buying and selling currencies and government securities in the global financial marketplace affects supply and demand conditions for capital./\Buying and selling currencies and government securities in the global financial marketplace causes widespread panic and capital flight.</v>
      </c>
      <c r="D1814" s="80" t="s">
        <v>3160</v>
      </c>
    </row>
    <row r="1815" spans="1:4" ht="16" thickTop="1" x14ac:dyDescent="0.35">
      <c r="B1815" s="81" t="str">
        <f ca="1">[1]!complexV_A($C$1814)</f>
        <v>The official government “federal funds rate” is the interest rate charged by Federal Reserve District banks to member public and private banks.</v>
      </c>
      <c r="C1815" s="82"/>
      <c r="D1815" s="77"/>
    </row>
    <row r="1816" spans="1:4" x14ac:dyDescent="0.35">
      <c r="B1816" s="81" t="str">
        <f ca="1">[1]!complexV_B($C$1814)</f>
        <v>The reserve requirement on member bank accounts regulates the amount of deposits that banks may borrow from business and individual depositors.</v>
      </c>
      <c r="C1816" s="82"/>
      <c r="D1816" s="77"/>
    </row>
    <row r="1817" spans="1:4" x14ac:dyDescent="0.35">
      <c r="B1817" s="81" t="str">
        <f ca="1">[1]!complexV_C($C$1814)</f>
        <v>Buying and selling currencies and government securities in the global financial marketplace causes widespread panic and capital flight.</v>
      </c>
      <c r="C1817" s="82"/>
      <c r="D1817" s="77"/>
    </row>
    <row r="1818" spans="1:4" x14ac:dyDescent="0.35">
      <c r="B1818" s="81" t="str">
        <f ca="1">[1]!complexV_D($C$1814)</f>
        <v>Two choices, A and B, are correct</v>
      </c>
      <c r="C1818" s="82"/>
      <c r="D1818" s="77"/>
    </row>
    <row r="1819" spans="1:4" ht="16" thickBot="1" x14ac:dyDescent="0.4">
      <c r="B1819" s="83" t="str">
        <f ca="1">[1]!complexV_E($C$1814)</f>
        <v>None of the A-B-C choices are correct</v>
      </c>
      <c r="C1819" s="84"/>
      <c r="D1819" s="78"/>
    </row>
    <row r="1820" spans="1:4" ht="16" thickTop="1" x14ac:dyDescent="0.35"/>
    <row r="1822" spans="1:4" x14ac:dyDescent="0.35">
      <c r="A1822" s="88" t="s">
        <v>3090</v>
      </c>
    </row>
    <row r="1823" spans="1:4" x14ac:dyDescent="0.35">
      <c r="A1823" s="2" t="s">
        <v>2146</v>
      </c>
      <c r="B1823" s="2" t="str">
        <f ca="1">CHOOSE(RANDBETWEEN(1,2),"A company characterized by the ""land-rich, cash poor"" syndrome probably has relatively low liquidity ratios.","A company that successfully avoids the ""land-rich, cash poor"" syndrome probably has normal or relatively high liquidity ratios.")</f>
        <v>A company characterized by the "land-rich, cash poor" syndrome probably has relatively low liquidity ratios.</v>
      </c>
    </row>
    <row r="1824" spans="1:4" x14ac:dyDescent="0.35">
      <c r="A1824" s="2" t="s">
        <v>2147</v>
      </c>
      <c r="B1824" s="2" t="str">
        <f ca="1">CHOOSE(RANDBETWEEN(1,2),"A company characterized by the ""land-rich, cash poor"" syndrome probably has relatively high liquidity ratios.","A company that successfully avoids the ""land-rich, cash poor"" syndrome probably has relatively low liquidity ratios.")</f>
        <v>A company characterized by the "land-rich, cash poor" syndrome probably has relatively high liquidity ratios.</v>
      </c>
    </row>
    <row r="1825" spans="1:6" x14ac:dyDescent="0.35">
      <c r="A1825" s="2" t="s">
        <v>2148</v>
      </c>
      <c r="B1825" s="2" t="str">
        <f ca="1">CHOOSE(RANDBETWEEN(1,2),"A company with a lot of excess borrowing capacity probably has relatively low debt ratios.","A company with very little excess borrowing capacity probably has relatively high debt ratios.")</f>
        <v>A company with a lot of excess borrowing capacity probably has relatively low debt ratios.</v>
      </c>
    </row>
    <row r="1826" spans="1:6" x14ac:dyDescent="0.35">
      <c r="A1826" s="2" t="s">
        <v>2149</v>
      </c>
      <c r="B1826" s="2" t="str">
        <f ca="1">CHOOSE(RANDBETWEEN(1,2),"A company with a lot of excess borrowing capacity probably has relatively high debt ratios.","A company with very little excess borrowing capacity probably has relatively low debt ratios.")</f>
        <v>A company with very little excess borrowing capacity probably has relatively low debt ratios.</v>
      </c>
    </row>
    <row r="1827" spans="1:6" x14ac:dyDescent="0.35">
      <c r="A1827" s="2" t="s">
        <v>2150</v>
      </c>
      <c r="B1827" s="2" t="str">
        <f ca="1">CHOOSE(RANDBETWEEN(1,2),"The asset turnover ratio (= Sales ÷ Total assets) probably is higher for a discount grocery store than for a nuclear power plant.","The asset turnover ratio (= Sales ÷ Total assets) probably is lower for a nuclear power plant than for a discount grocery store.")</f>
        <v>The asset turnover ratio (= Sales ÷ Total assets) probably is higher for a discount grocery store than for a nuclear power plant.</v>
      </c>
    </row>
    <row r="1828" spans="1:6" x14ac:dyDescent="0.35">
      <c r="A1828" s="2" t="s">
        <v>2151</v>
      </c>
      <c r="B1828" s="2" t="str">
        <f ca="1">CHOOSE(RANDBETWEEN(1,2),"The asset turnover ratio (= Sales ÷ Total assets) probably is lower for a discount grocery store than for a nuclear power plant.","The asset turnover ratio (= Sales ÷ Total assets) probably is higher for a nuclear power plant than for a discount grocery store.")</f>
        <v>The asset turnover ratio (= Sales ÷ Total assets) probably is lower for a discount grocery store than for a nuclear power plant.</v>
      </c>
    </row>
    <row r="1829" spans="1:6" ht="16" thickBot="1" x14ac:dyDescent="0.4"/>
    <row r="1830" spans="1:6" ht="16.5" thickTop="1" thickBot="1" x14ac:dyDescent="0.4">
      <c r="B1830" s="76" t="str">
        <f ca="1">[1]!alpha_ans($C$1830)</f>
        <v>E</v>
      </c>
      <c r="C1830" s="79" t="str">
        <f ca="1" xml:space="preserve"> "/\" &amp;RANDBETWEEN( 1,5) &amp; "/\" &amp;RANDBETWEEN( 1,3) &amp; "/\" &amp;RANDBETWEEN( 1,2) &amp; "/\" &amp;B1823 &amp; "/\" &amp; B1824 &amp; "/\" &amp; B1825 &amp; "/\" &amp; B1826 &amp; "/\" &amp; B1827 &amp; "/\" &amp; B1828</f>
        <v>/\5/\3/\1/\A company characterized by the "land-rich, cash poor" syndrome probably has relatively low liquidity ratios./\A company characterized by the "land-rich, cash poor" syndrome probably has relatively high liquidity ratios./\A company with a lot of excess borrowing capacity probably has relatively low debt ratios./\A company with very little excess borrowing capacity probably has relatively low debt ratios./\The asset turnover ratio (= Sales ÷ Total assets) probably is higher for a discount grocery store than for a nuclear power plant./\The asset turnover ratio (= Sales ÷ Total assets) probably is lower for a discount grocery store than for a nuclear power plant.</v>
      </c>
      <c r="D1830" s="80" t="s">
        <v>3091</v>
      </c>
    </row>
    <row r="1831" spans="1:6" ht="16" thickTop="1" x14ac:dyDescent="0.35">
      <c r="B1831" s="81" t="str">
        <f ca="1">[1]!complexV_A($C$1830)</f>
        <v>A company characterized by the "land-rich, cash poor" syndrome probably has relatively low liquidity ratios.</v>
      </c>
      <c r="C1831" s="82"/>
      <c r="D1831" s="77"/>
    </row>
    <row r="1832" spans="1:6" x14ac:dyDescent="0.35">
      <c r="B1832" s="81" t="str">
        <f ca="1">[1]!complexV_B($C$1830)</f>
        <v>A company with a lot of excess borrowing capacity probably has relatively low debt ratios.</v>
      </c>
      <c r="C1832" s="82"/>
      <c r="D1832" s="77"/>
    </row>
    <row r="1833" spans="1:6" x14ac:dyDescent="0.35">
      <c r="B1833" s="81" t="str">
        <f ca="1">[1]!complexV_C($C$1830)</f>
        <v>The asset turnover ratio (= Sales ÷ Total assets) probably is higher for a discount grocery store than for a nuclear power plant.</v>
      </c>
      <c r="C1833" s="82"/>
      <c r="D1833" s="77"/>
    </row>
    <row r="1834" spans="1:6" x14ac:dyDescent="0.35">
      <c r="B1834" s="81" t="str">
        <f ca="1">[1]!complexV_D($C$1830)</f>
        <v>Two choices, B and C, are correct</v>
      </c>
      <c r="C1834" s="82"/>
      <c r="D1834" s="77"/>
    </row>
    <row r="1835" spans="1:6" ht="16" thickBot="1" x14ac:dyDescent="0.4">
      <c r="B1835" s="83" t="str">
        <f ca="1">[1]!complexV_E($C$1830)</f>
        <v>The three A-B-C choices are all correct</v>
      </c>
      <c r="C1835" s="84"/>
      <c r="D1835" s="78"/>
    </row>
    <row r="1836" spans="1:6" ht="16" thickTop="1" x14ac:dyDescent="0.35"/>
    <row r="1837" spans="1:6" x14ac:dyDescent="0.35">
      <c r="A1837"/>
      <c r="B1837"/>
      <c r="C1837"/>
      <c r="D1837"/>
      <c r="E1837"/>
      <c r="F1837"/>
    </row>
    <row r="1838" spans="1:6" x14ac:dyDescent="0.35">
      <c r="A1838"/>
      <c r="B1838"/>
      <c r="C1838"/>
      <c r="D1838"/>
      <c r="E1838"/>
      <c r="F1838"/>
    </row>
    <row r="1839" spans="1:6" x14ac:dyDescent="0.35">
      <c r="A1839"/>
      <c r="B1839"/>
      <c r="C1839"/>
      <c r="D1839"/>
      <c r="E1839"/>
      <c r="F1839"/>
    </row>
    <row r="1840" spans="1:6" x14ac:dyDescent="0.35">
      <c r="A1840"/>
      <c r="B1840"/>
      <c r="C1840"/>
      <c r="D1840"/>
      <c r="E1840"/>
      <c r="F1840"/>
    </row>
    <row r="1841" spans="1:6" x14ac:dyDescent="0.35">
      <c r="A1841"/>
      <c r="B1841"/>
      <c r="C1841"/>
      <c r="D1841"/>
      <c r="E1841"/>
      <c r="F1841"/>
    </row>
    <row r="1842" spans="1:6" x14ac:dyDescent="0.35">
      <c r="A1842"/>
      <c r="B1842"/>
      <c r="C1842"/>
      <c r="D1842"/>
      <c r="E1842"/>
      <c r="F1842"/>
    </row>
    <row r="1843" spans="1:6" x14ac:dyDescent="0.35">
      <c r="A1843"/>
      <c r="B1843"/>
      <c r="C1843"/>
      <c r="D1843"/>
      <c r="E1843"/>
      <c r="F1843"/>
    </row>
    <row r="1844" spans="1:6" x14ac:dyDescent="0.35">
      <c r="A1844"/>
      <c r="B1844"/>
      <c r="C1844"/>
      <c r="D1844"/>
      <c r="E1844"/>
      <c r="F1844"/>
    </row>
    <row r="1845" spans="1:6" x14ac:dyDescent="0.35">
      <c r="A1845"/>
      <c r="B1845"/>
      <c r="C1845"/>
      <c r="D1845"/>
      <c r="E1845"/>
      <c r="F1845"/>
    </row>
    <row r="1846" spans="1:6" x14ac:dyDescent="0.35">
      <c r="A1846"/>
      <c r="B1846"/>
      <c r="C1846"/>
      <c r="D1846"/>
      <c r="E1846"/>
      <c r="F1846"/>
    </row>
    <row r="1847" spans="1:6" x14ac:dyDescent="0.35">
      <c r="A1847"/>
      <c r="B1847"/>
      <c r="C1847"/>
      <c r="D1847"/>
      <c r="E1847"/>
      <c r="F1847"/>
    </row>
    <row r="1848" spans="1:6" x14ac:dyDescent="0.35">
      <c r="A1848"/>
      <c r="B1848"/>
      <c r="C1848"/>
      <c r="D1848"/>
      <c r="E1848"/>
      <c r="F1848"/>
    </row>
    <row r="1849" spans="1:6" x14ac:dyDescent="0.35">
      <c r="A1849"/>
      <c r="B1849"/>
      <c r="C1849"/>
      <c r="D1849"/>
      <c r="E1849"/>
      <c r="F1849"/>
    </row>
    <row r="1850" spans="1:6" x14ac:dyDescent="0.35">
      <c r="A1850"/>
      <c r="B1850"/>
      <c r="C1850"/>
      <c r="D1850"/>
      <c r="E1850"/>
      <c r="F1850"/>
    </row>
    <row r="1851" spans="1:6" x14ac:dyDescent="0.35">
      <c r="A1851"/>
      <c r="B1851"/>
      <c r="C1851"/>
      <c r="D1851"/>
      <c r="E1851"/>
      <c r="F1851"/>
    </row>
    <row r="1852" spans="1:6" x14ac:dyDescent="0.35">
      <c r="A1852"/>
      <c r="B1852"/>
      <c r="C1852"/>
      <c r="D1852"/>
      <c r="E1852"/>
      <c r="F1852"/>
    </row>
    <row r="1853" spans="1:6" x14ac:dyDescent="0.35">
      <c r="A1853"/>
      <c r="B1853"/>
      <c r="C1853"/>
      <c r="D1853"/>
      <c r="E1853"/>
      <c r="F1853"/>
    </row>
  </sheetData>
  <mergeCells count="1">
    <mergeCell ref="A824:B824"/>
  </mergeCells>
  <phoneticPr fontId="0" type="noConversion"/>
  <pageMargins left="0.75" right="0.75" top="1" bottom="1" header="0.5" footer="0.5"/>
  <pageSetup orientation="portrait" horizontalDpi="96" verticalDpi="96"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9:Z1062"/>
  <sheetViews>
    <sheetView workbookViewId="0"/>
  </sheetViews>
  <sheetFormatPr defaultColWidth="10.58203125" defaultRowHeight="15.5" x14ac:dyDescent="0.35"/>
  <cols>
    <col min="1" max="16384" width="10.58203125" style="2"/>
  </cols>
  <sheetData>
    <row r="9" spans="1:4" x14ac:dyDescent="0.35">
      <c r="A9" s="22"/>
    </row>
    <row r="10" spans="1:4" x14ac:dyDescent="0.35">
      <c r="A10" s="88" t="s">
        <v>1830</v>
      </c>
    </row>
    <row r="12" spans="1:4" x14ac:dyDescent="0.35">
      <c r="B12" s="22" t="s">
        <v>3391</v>
      </c>
    </row>
    <row r="13" spans="1:4" x14ac:dyDescent="0.35">
      <c r="A13" s="8"/>
      <c r="C13" s="8">
        <f ca="1">C15-C14</f>
        <v>1900</v>
      </c>
      <c r="D13" s="2" t="s">
        <v>2876</v>
      </c>
    </row>
    <row r="14" spans="1:4" x14ac:dyDescent="0.35">
      <c r="A14" s="98" t="s">
        <v>2481</v>
      </c>
      <c r="B14" s="11"/>
      <c r="C14" s="99">
        <f ca="1">ROUND(A15*RANDBETWEEN(50,80)/100,-2)</f>
        <v>2700</v>
      </c>
      <c r="D14" s="11" t="s">
        <v>3390</v>
      </c>
    </row>
    <row r="15" spans="1:4" x14ac:dyDescent="0.35">
      <c r="A15" s="8">
        <f ca="1">RANDBETWEEN(30,50)*100</f>
        <v>4600</v>
      </c>
      <c r="B15" s="2" t="s">
        <v>2439</v>
      </c>
      <c r="C15" s="8">
        <f ca="1">A15</f>
        <v>4600</v>
      </c>
    </row>
    <row r="17" spans="1:9" x14ac:dyDescent="0.35">
      <c r="B17" s="100" t="s">
        <v>3826</v>
      </c>
      <c r="C17" s="100"/>
      <c r="D17" s="100"/>
      <c r="E17" s="22" t="s">
        <v>3279</v>
      </c>
    </row>
    <row r="18" spans="1:9" x14ac:dyDescent="0.35">
      <c r="A18" s="35">
        <f ca="1">RANDBETWEEN(20,50)/10</f>
        <v>3</v>
      </c>
      <c r="B18" s="2" t="s">
        <v>3596</v>
      </c>
      <c r="D18" s="24">
        <f ca="1">A18*A15</f>
        <v>13800</v>
      </c>
      <c r="E18" s="2" t="s">
        <v>3832</v>
      </c>
      <c r="H18" s="14">
        <f ca="1">(D24+D20/A21)/H19-1</f>
        <v>0.15049222797927464</v>
      </c>
      <c r="I18" s="2" t="s">
        <v>3773</v>
      </c>
    </row>
    <row r="19" spans="1:9" x14ac:dyDescent="0.35">
      <c r="A19" s="29">
        <f ca="1">RANDBETWEEN(50,100)/1000</f>
        <v>0.06</v>
      </c>
      <c r="B19" s="2" t="s">
        <v>357</v>
      </c>
      <c r="D19" s="24">
        <f ca="1">D18*A19</f>
        <v>828</v>
      </c>
      <c r="E19" s="2" t="s">
        <v>3831</v>
      </c>
      <c r="H19" s="27">
        <f ca="1">A24*A22/A21</f>
        <v>56.567787610619476</v>
      </c>
      <c r="I19" s="2" t="s">
        <v>180</v>
      </c>
    </row>
    <row r="20" spans="1:9" x14ac:dyDescent="0.35">
      <c r="A20" s="32">
        <f ca="1">RANDBETWEEN(7,13)*5/100</f>
        <v>0.35</v>
      </c>
      <c r="B20" s="2" t="s">
        <v>2877</v>
      </c>
      <c r="D20" s="24">
        <f ca="1">D19*A20</f>
        <v>289.79999999999995</v>
      </c>
      <c r="E20" s="2" t="s">
        <v>3241</v>
      </c>
    </row>
    <row r="21" spans="1:9" x14ac:dyDescent="0.35">
      <c r="A21" s="2">
        <f ca="1">ROUND((IF(RANDBETWEEN(0,1)=0,1/1.1,1.1))*C14/10,-1)</f>
        <v>250</v>
      </c>
      <c r="B21" s="2" t="s">
        <v>2673</v>
      </c>
      <c r="D21" s="24">
        <f ca="1">D19*(1-A20)</f>
        <v>538.20000000000005</v>
      </c>
      <c r="E21" s="2" t="s">
        <v>3280</v>
      </c>
    </row>
    <row r="22" spans="1:9" x14ac:dyDescent="0.35">
      <c r="A22" s="35">
        <f ca="1">RANDBETWEEN(120,200)/10</f>
        <v>19.3</v>
      </c>
      <c r="B22" s="2" t="s">
        <v>3769</v>
      </c>
      <c r="D22" s="10">
        <f ca="1">C14+D21</f>
        <v>3238.2</v>
      </c>
      <c r="E22" s="2" t="s">
        <v>3242</v>
      </c>
    </row>
    <row r="23" spans="1:9" x14ac:dyDescent="0.35">
      <c r="A23" s="14">
        <f ca="1">RANDBETWEEN(60,150)/1000</f>
        <v>0.13</v>
      </c>
      <c r="B23" s="2" t="s">
        <v>3771</v>
      </c>
      <c r="D23" s="27">
        <f ca="1">D22/A21</f>
        <v>12.9528</v>
      </c>
      <c r="E23" s="2" t="s">
        <v>2332</v>
      </c>
    </row>
    <row r="24" spans="1:9" x14ac:dyDescent="0.35">
      <c r="A24" s="24">
        <f ca="1">D19/(1+A23)</f>
        <v>732.74336283185846</v>
      </c>
      <c r="B24" s="2" t="s">
        <v>3772</v>
      </c>
      <c r="D24" s="27">
        <f ca="1">A22*D19/A21</f>
        <v>63.921600000000005</v>
      </c>
      <c r="E24" s="2" t="s">
        <v>183</v>
      </c>
    </row>
    <row r="25" spans="1:9" ht="16" thickBot="1" x14ac:dyDescent="0.4"/>
    <row r="26" spans="1:9" ht="16.5" thickTop="1" thickBot="1" x14ac:dyDescent="0.4">
      <c r="B26" s="76" t="str">
        <f ca="1">[1]!std_ans($C$26)</f>
        <v>C</v>
      </c>
      <c r="C26" s="79" t="str">
        <f ca="1" xml:space="preserve"> "/\" &amp;RANDBETWEEN( 1,120) &amp; "/\" &amp;RANDBETWEEN( 1,120) &amp; "/\" &amp;0.1 &amp; "/\" &amp; D24</f>
        <v>/\109/\49/\0.1/\63.9216</v>
      </c>
      <c r="D26" s="80" t="s">
        <v>3770</v>
      </c>
      <c r="F26" s="76" t="str">
        <f ca="1">[1]!std_ans($G$26)</f>
        <v>C</v>
      </c>
      <c r="G26" s="79" t="str">
        <f ca="1" xml:space="preserve"> "/\" &amp;RANDBETWEEN( 1,120) &amp; "/\" &amp;RANDBETWEEN( 1,120) &amp; "/\" &amp;0.15 &amp; "/\" &amp; H18</f>
        <v>/\68/\9/\0.15/\0.150492227979275</v>
      </c>
      <c r="H26" s="80" t="s">
        <v>3389</v>
      </c>
    </row>
    <row r="27" spans="1:9" ht="16" thickTop="1" x14ac:dyDescent="0.35">
      <c r="B27" s="96">
        <f ca="1">[1]!stdnum_A($C$26)</f>
        <v>77.345136000000011</v>
      </c>
      <c r="C27" s="82"/>
      <c r="D27" s="77"/>
      <c r="F27" s="92">
        <f ca="1">[1]!stdnum_A($G$26)</f>
        <v>0.22887986722797982</v>
      </c>
      <c r="G27" s="82"/>
      <c r="H27" s="77"/>
    </row>
    <row r="28" spans="1:9" x14ac:dyDescent="0.35">
      <c r="B28" s="96">
        <f ca="1">[1]!stdnum_B($C$26)</f>
        <v>58.110545454545452</v>
      </c>
      <c r="C28" s="82"/>
      <c r="D28" s="77"/>
      <c r="F28" s="92">
        <f ca="1">[1]!stdnum_B($G$26)</f>
        <v>0.26321184731217678</v>
      </c>
      <c r="G28" s="82"/>
      <c r="H28" s="77"/>
    </row>
    <row r="29" spans="1:9" x14ac:dyDescent="0.35">
      <c r="B29" s="96">
        <f ca="1">[1]!stdnum_C($C$26)</f>
        <v>63.921599999999998</v>
      </c>
      <c r="C29" s="82"/>
      <c r="D29" s="77"/>
      <c r="F29" s="92">
        <f ca="1">[1]!stdnum_C($G$26)</f>
        <v>0.150492227979275</v>
      </c>
      <c r="G29" s="82"/>
      <c r="H29" s="77"/>
    </row>
    <row r="30" spans="1:9" x14ac:dyDescent="0.35">
      <c r="B30" s="96">
        <f ca="1">[1]!stdnum_D($C$26)</f>
        <v>52.827768595041313</v>
      </c>
      <c r="C30" s="82"/>
      <c r="D30" s="77"/>
      <c r="F30" s="92">
        <f ca="1">[1]!stdnum_D($G$26)</f>
        <v>0.17306606217616624</v>
      </c>
      <c r="G30" s="82"/>
      <c r="H30" s="77"/>
    </row>
    <row r="31" spans="1:9" ht="16" thickBot="1" x14ac:dyDescent="0.4">
      <c r="B31" s="97">
        <f ca="1">[1]!stdnum_E($C$26)</f>
        <v>70.313760000000002</v>
      </c>
      <c r="C31" s="84"/>
      <c r="D31" s="78"/>
      <c r="F31" s="93">
        <f ca="1">[1]!stdnum_E($G$26)</f>
        <v>0.19902597150259116</v>
      </c>
      <c r="G31" s="84"/>
      <c r="H31" s="78"/>
    </row>
    <row r="32" spans="1:9" ht="16" thickTop="1" x14ac:dyDescent="0.35"/>
    <row r="34" spans="1:13" x14ac:dyDescent="0.35">
      <c r="A34" s="88" t="s">
        <v>3119</v>
      </c>
    </row>
    <row r="36" spans="1:13" x14ac:dyDescent="0.35">
      <c r="B36" s="22" t="s">
        <v>3391</v>
      </c>
    </row>
    <row r="37" spans="1:13" x14ac:dyDescent="0.35">
      <c r="A37" s="8">
        <f ca="1">A39-A38</f>
        <v>1800</v>
      </c>
      <c r="B37" s="2" t="s">
        <v>52</v>
      </c>
      <c r="C37" s="8">
        <f ca="1">C39-C38</f>
        <v>3300</v>
      </c>
      <c r="D37" s="2" t="s">
        <v>2876</v>
      </c>
    </row>
    <row r="38" spans="1:13" x14ac:dyDescent="0.35">
      <c r="A38" s="98">
        <f ca="1">ROUND(A39*RANDBETWEEN(50,80)/100,-2)</f>
        <v>6500</v>
      </c>
      <c r="B38" s="11" t="s">
        <v>2575</v>
      </c>
      <c r="C38" s="99">
        <f ca="1">ROUND(A39*RANDBETWEEN(60,90)/100,-2)</f>
        <v>5000</v>
      </c>
      <c r="D38" s="11" t="s">
        <v>3390</v>
      </c>
    </row>
    <row r="39" spans="1:13" x14ac:dyDescent="0.35">
      <c r="A39" s="8">
        <f ca="1">RANDBETWEEN(50,95)*100</f>
        <v>8300</v>
      </c>
      <c r="B39" s="2" t="s">
        <v>2439</v>
      </c>
      <c r="C39" s="8">
        <f ca="1">A39</f>
        <v>8300</v>
      </c>
    </row>
    <row r="41" spans="1:13" x14ac:dyDescent="0.35">
      <c r="A41" s="10">
        <f ca="1">A39*RANDBETWEEN(20,40)/10</f>
        <v>33200</v>
      </c>
      <c r="B41" s="2" t="s">
        <v>81</v>
      </c>
      <c r="F41" s="10">
        <f ca="1">D44+A45</f>
        <v>1895</v>
      </c>
      <c r="G41" s="2" t="s">
        <v>3256</v>
      </c>
      <c r="L41" s="27">
        <f ca="1">C38*F45/A46</f>
        <v>10.5</v>
      </c>
      <c r="M41" s="2" t="s">
        <v>1760</v>
      </c>
    </row>
    <row r="42" spans="1:13" x14ac:dyDescent="0.35">
      <c r="A42" s="14">
        <f ca="1">RANDBETWEEN(40,110)/1000</f>
        <v>4.7E-2</v>
      </c>
      <c r="B42" s="2" t="s">
        <v>88</v>
      </c>
      <c r="F42" s="8">
        <f ca="1">A41*A42*(1-A43)</f>
        <v>546.14</v>
      </c>
      <c r="G42" s="2" t="s">
        <v>3554</v>
      </c>
      <c r="L42" s="3">
        <f ca="1">F41/L41</f>
        <v>180.47619047619048</v>
      </c>
      <c r="M42" s="2" t="s">
        <v>1761</v>
      </c>
    </row>
    <row r="43" spans="1:13" x14ac:dyDescent="0.35">
      <c r="A43" s="12">
        <f ca="1">5*RANDBETWEEN(8,16)/100</f>
        <v>0.65</v>
      </c>
      <c r="B43" s="2" t="s">
        <v>89</v>
      </c>
      <c r="F43" s="10">
        <f ca="1">C38+F42+F41</f>
        <v>7441.14</v>
      </c>
      <c r="G43" s="2" t="s">
        <v>3035</v>
      </c>
      <c r="L43" s="3">
        <f ca="1">A46+L42</f>
        <v>1180.4761904761904</v>
      </c>
      <c r="M43" s="2" t="s">
        <v>1762</v>
      </c>
    </row>
    <row r="44" spans="1:13" x14ac:dyDescent="0.35">
      <c r="A44" s="12">
        <f ca="1">RANDBETWEEN(15,25)/100</f>
        <v>0.23</v>
      </c>
      <c r="B44" s="2" t="s">
        <v>90</v>
      </c>
      <c r="D44" s="10">
        <f ca="1">A44*A38</f>
        <v>1495</v>
      </c>
      <c r="F44" s="10">
        <f ca="1">C37+(F41-F42)</f>
        <v>4648.8600000000006</v>
      </c>
      <c r="G44" s="2" t="s">
        <v>2464</v>
      </c>
      <c r="L44" s="27">
        <f ca="1">A41*A42*A43/L43</f>
        <v>0.85919564340459875</v>
      </c>
      <c r="M44" s="2" t="s">
        <v>1763</v>
      </c>
    </row>
    <row r="45" spans="1:13" x14ac:dyDescent="0.35">
      <c r="A45" s="10">
        <f ca="1">RANDBETWEEN(2,6)*100+ ROUND(MAX(0,F42-D44),-2)</f>
        <v>400</v>
      </c>
      <c r="B45" s="2" t="s">
        <v>91</v>
      </c>
      <c r="F45" s="94">
        <f ca="1">RANDBETWEEN(8,32)/10</f>
        <v>2.1</v>
      </c>
      <c r="G45" s="2" t="s">
        <v>669</v>
      </c>
      <c r="L45" s="27">
        <f ca="1">F43*F45/L43</f>
        <v>13.237364824526022</v>
      </c>
      <c r="M45" s="2" t="s">
        <v>1764</v>
      </c>
    </row>
    <row r="46" spans="1:13" x14ac:dyDescent="0.35">
      <c r="A46" s="2">
        <f ca="1">RANDBETWEEN(9,20)*50</f>
        <v>1000</v>
      </c>
      <c r="B46" s="2" t="s">
        <v>1759</v>
      </c>
      <c r="F46" s="7">
        <f ca="1">(L45+L44)/L41-1</f>
        <v>0.34252956837434478</v>
      </c>
      <c r="G46" s="2" t="s">
        <v>378</v>
      </c>
      <c r="L46" s="7"/>
    </row>
    <row r="47" spans="1:13" ht="16" thickBot="1" x14ac:dyDescent="0.4">
      <c r="J47" s="88" t="s">
        <v>671</v>
      </c>
    </row>
    <row r="48" spans="1:13" ht="16.5" thickTop="1" thickBot="1" x14ac:dyDescent="0.4">
      <c r="B48" s="76" t="str">
        <f ca="1">[1]!std_ans($C$48)</f>
        <v>E</v>
      </c>
      <c r="C48" s="79" t="str">
        <f ca="1" xml:space="preserve"> "/\" &amp;RANDBETWEEN( 1,120) &amp; "/\" &amp;RANDBETWEEN( 1,120) &amp; "/\" &amp;0.1 &amp; "/\" &amp; F43</f>
        <v>/\96/\18/\0.1/\7441.14</v>
      </c>
      <c r="D48" s="80" t="s">
        <v>3036</v>
      </c>
      <c r="F48" s="76" t="str">
        <f ca="1">[1]!std_ans($G$48)</f>
        <v>E</v>
      </c>
      <c r="G48" s="79" t="str">
        <f ca="1" xml:space="preserve"> "/\" &amp;RANDBETWEEN( 1,120) &amp; "/\" &amp;RANDBETWEEN( 1,120) &amp; "/\" &amp;0.1 &amp; "/\" &amp; F44</f>
        <v>/\112/\1/\0.1/\4648.86</v>
      </c>
      <c r="H48" s="80" t="s">
        <v>2465</v>
      </c>
      <c r="J48" s="76" t="str">
        <f ca="1">[1]!std_ans($K$48)</f>
        <v>E</v>
      </c>
      <c r="K48" s="79" t="str">
        <f ca="1" xml:space="preserve"> "/\" &amp;RANDBETWEEN( 1,120) &amp; "/\" &amp;RANDBETWEEN( 1,120) &amp; "/\" &amp;0.1 &amp; "/\" &amp; F46</f>
        <v>/\46/\113/\0.1/\0.342529568374345</v>
      </c>
      <c r="L48" s="80" t="s">
        <v>670</v>
      </c>
    </row>
    <row r="49" spans="1:12" ht="16" thickTop="1" x14ac:dyDescent="0.35">
      <c r="B49" s="101">
        <f ca="1">[1]!stdnum_A($C$48)</f>
        <v>9003.7794000000013</v>
      </c>
      <c r="C49" s="82"/>
      <c r="D49" s="77"/>
      <c r="F49" s="101">
        <f ca="1">[1]!stdnum_A($G$48)</f>
        <v>6806.3959260000011</v>
      </c>
      <c r="G49" s="82"/>
      <c r="H49" s="77"/>
      <c r="J49" s="92">
        <f ca="1">[1]!stdnum_A($K$48)</f>
        <v>0.28308228791268181</v>
      </c>
      <c r="K49" s="82"/>
      <c r="L49" s="77"/>
    </row>
    <row r="50" spans="1:12" x14ac:dyDescent="0.35">
      <c r="B50" s="101">
        <f ca="1">[1]!stdnum_B($C$48)</f>
        <v>8185.2540000000008</v>
      </c>
      <c r="C50" s="82"/>
      <c r="D50" s="77"/>
      <c r="F50" s="101">
        <f ca="1">[1]!stdnum_B($G$48)</f>
        <v>5625.1206000000002</v>
      </c>
      <c r="G50" s="82"/>
      <c r="H50" s="77"/>
      <c r="J50" s="92">
        <f ca="1">[1]!stdnum_B($K$48)</f>
        <v>0.25734753446607433</v>
      </c>
      <c r="K50" s="82"/>
      <c r="L50" s="77"/>
    </row>
    <row r="51" spans="1:12" x14ac:dyDescent="0.35">
      <c r="B51" s="101">
        <f ca="1">[1]!stdnum_C($C$48)</f>
        <v>10894.573074000004</v>
      </c>
      <c r="C51" s="82"/>
      <c r="D51" s="77"/>
      <c r="F51" s="101">
        <f ca="1">[1]!stdnum_C($G$48)</f>
        <v>5113.7460000000001</v>
      </c>
      <c r="G51" s="82"/>
      <c r="H51" s="77"/>
      <c r="J51" s="92">
        <f ca="1">[1]!stdnum_C($K$48)</f>
        <v>0.31139051670395002</v>
      </c>
      <c r="K51" s="82"/>
      <c r="L51" s="77"/>
    </row>
    <row r="52" spans="1:12" x14ac:dyDescent="0.35">
      <c r="B52" s="101">
        <f ca="1">[1]!stdnum_D($C$48)</f>
        <v>9904.1573400000034</v>
      </c>
      <c r="C52" s="82"/>
      <c r="D52" s="77"/>
      <c r="F52" s="101">
        <f ca="1">[1]!stdnum_D($G$48)</f>
        <v>6187.6326600000011</v>
      </c>
      <c r="G52" s="82"/>
      <c r="H52" s="77"/>
      <c r="J52" s="92">
        <f ca="1">[1]!stdnum_D($K$48)</f>
        <v>0.23395230406006756</v>
      </c>
      <c r="K52" s="82"/>
      <c r="L52" s="77"/>
    </row>
    <row r="53" spans="1:12" ht="16" thickBot="1" x14ac:dyDescent="0.4">
      <c r="B53" s="102">
        <f ca="1">[1]!stdnum_E($C$48)</f>
        <v>7441.14</v>
      </c>
      <c r="C53" s="84"/>
      <c r="D53" s="78"/>
      <c r="F53" s="102">
        <f ca="1">[1]!stdnum_E($G$48)</f>
        <v>4648.8599999999997</v>
      </c>
      <c r="G53" s="84"/>
      <c r="H53" s="78"/>
      <c r="J53" s="93">
        <f ca="1">[1]!stdnum_E($K$48)</f>
        <v>0.34252956837434501</v>
      </c>
      <c r="K53" s="84"/>
      <c r="L53" s="78"/>
    </row>
    <row r="54" spans="1:12" ht="16" thickTop="1" x14ac:dyDescent="0.35"/>
    <row r="56" spans="1:12" x14ac:dyDescent="0.35">
      <c r="A56" s="88" t="s">
        <v>3437</v>
      </c>
    </row>
    <row r="58" spans="1:12" x14ac:dyDescent="0.35">
      <c r="B58" s="22" t="s">
        <v>3391</v>
      </c>
      <c r="F58" s="2" t="s">
        <v>950</v>
      </c>
      <c r="G58" s="10">
        <f ca="1">ROUND(A62*D67,0)</f>
        <v>27880</v>
      </c>
    </row>
    <row r="59" spans="1:12" x14ac:dyDescent="0.35">
      <c r="A59" s="8">
        <f ca="1">A62-A61</f>
        <v>1900</v>
      </c>
      <c r="B59" s="2" t="s">
        <v>52</v>
      </c>
      <c r="C59" s="10">
        <f ca="1">C62-C61-C60</f>
        <v>1000</v>
      </c>
      <c r="D59" s="2" t="s">
        <v>52</v>
      </c>
      <c r="F59" s="2" t="s">
        <v>951</v>
      </c>
      <c r="G59" s="10">
        <f ca="1">G58-G60</f>
        <v>26598</v>
      </c>
    </row>
    <row r="60" spans="1:12" x14ac:dyDescent="0.35">
      <c r="C60" s="8">
        <f ca="1">ROUND((C62-C61)*0.6,-2)</f>
        <v>1500</v>
      </c>
      <c r="D60" s="2" t="s">
        <v>2876</v>
      </c>
      <c r="F60" s="2" t="s">
        <v>952</v>
      </c>
      <c r="G60" s="10">
        <f ca="1">ROUND(A65*G58,0)</f>
        <v>1282</v>
      </c>
    </row>
    <row r="61" spans="1:12" x14ac:dyDescent="0.35">
      <c r="A61" s="98">
        <f ca="1">ROUND(A62*RANDBETWEEN(50,80)/100,-2)</f>
        <v>6300</v>
      </c>
      <c r="B61" s="11" t="s">
        <v>2575</v>
      </c>
      <c r="C61" s="99">
        <f ca="1">ROUND(A62*RANDBETWEEN(60,90)/100,-2)</f>
        <v>5700</v>
      </c>
      <c r="D61" s="11" t="s">
        <v>3390</v>
      </c>
      <c r="F61" s="2" t="s">
        <v>2073</v>
      </c>
      <c r="G61" s="10">
        <f ca="1">ROUND(A66*G60,0)</f>
        <v>769</v>
      </c>
    </row>
    <row r="62" spans="1:12" x14ac:dyDescent="0.35">
      <c r="A62" s="8">
        <f ca="1">RANDBETWEEN(50,95)*100</f>
        <v>8200</v>
      </c>
      <c r="B62" s="2" t="s">
        <v>2439</v>
      </c>
      <c r="C62" s="8">
        <f ca="1">A62</f>
        <v>8200</v>
      </c>
      <c r="F62" s="2" t="s">
        <v>953</v>
      </c>
      <c r="G62" s="10">
        <f ca="1">G60-G61</f>
        <v>513</v>
      </c>
    </row>
    <row r="64" spans="1:12" x14ac:dyDescent="0.35">
      <c r="A64" s="14">
        <f ca="1">RANDBETWEEN(40,120)/1000</f>
        <v>0.115</v>
      </c>
      <c r="B64" s="2" t="s">
        <v>3617</v>
      </c>
      <c r="F64" s="10">
        <f ca="1">A64*C59+(1+A64)*G62</f>
        <v>686.995</v>
      </c>
      <c r="G64" s="2" t="s">
        <v>955</v>
      </c>
    </row>
    <row r="65" spans="1:7" x14ac:dyDescent="0.35">
      <c r="A65" s="14">
        <f ca="1">RANDBETWEEN(40,110)/1000</f>
        <v>4.5999999999999999E-2</v>
      </c>
      <c r="B65" s="2" t="s">
        <v>88</v>
      </c>
      <c r="F65" s="8">
        <f ca="1">A68-A62-F64</f>
        <v>-251.93944444444526</v>
      </c>
      <c r="G65" s="2" t="s">
        <v>956</v>
      </c>
    </row>
    <row r="66" spans="1:7" x14ac:dyDescent="0.35">
      <c r="A66" s="12">
        <f ca="1">5*RANDBETWEEN(8,16)/100</f>
        <v>0.6</v>
      </c>
      <c r="B66" s="2" t="s">
        <v>89</v>
      </c>
      <c r="F66" s="10">
        <f ca="1">IF(ABS(F65)&lt;40,"#RECALCULATE",ABS(F65))</f>
        <v>251.93944444444526</v>
      </c>
      <c r="G66" s="2" t="str">
        <f ca="1">IF(F65&lt;0,"surplus","deficit")</f>
        <v>surplus</v>
      </c>
    </row>
    <row r="67" spans="1:7" x14ac:dyDescent="0.35">
      <c r="A67" s="105">
        <f ca="1">D67+RANDBETWEEN(2,6)/10</f>
        <v>3.6</v>
      </c>
      <c r="B67" s="2" t="s">
        <v>949</v>
      </c>
      <c r="D67" s="104">
        <f ca="1">RANDBETWEEN(18,35)/10</f>
        <v>3.4</v>
      </c>
      <c r="F67" s="10"/>
    </row>
    <row r="68" spans="1:7" x14ac:dyDescent="0.35">
      <c r="A68" s="10">
        <f ca="1">G58*(1+A64)/A67</f>
        <v>8635.0555555555547</v>
      </c>
      <c r="B68" s="2" t="s">
        <v>954</v>
      </c>
    </row>
    <row r="69" spans="1:7" ht="16" thickBot="1" x14ac:dyDescent="0.4"/>
    <row r="70" spans="1:7" ht="16.5" thickTop="1" thickBot="1" x14ac:dyDescent="0.4">
      <c r="B70" s="76" t="str">
        <f ca="1">[1]!std_ans($C$70)</f>
        <v>E</v>
      </c>
      <c r="C70" s="79" t="str">
        <f ca="1" xml:space="preserve"> "/\" &amp;RANDBETWEEN( 1,120) &amp; "/\" &amp;RANDBETWEEN( 1,120) &amp; "/\" &amp;0.1 &amp; "/\" &amp; F66</f>
        <v>/\66/\69/\0.1/\251.939444444445</v>
      </c>
      <c r="D70" s="80" t="s">
        <v>957</v>
      </c>
    </row>
    <row r="71" spans="1:7" ht="16" thickTop="1" x14ac:dyDescent="0.35">
      <c r="B71" s="101">
        <f ca="1">[1]!stdnum_A($C$70)</f>
        <v>229.03585858585907</v>
      </c>
      <c r="C71" s="82"/>
      <c r="D71" s="77"/>
    </row>
    <row r="72" spans="1:7" x14ac:dyDescent="0.35">
      <c r="B72" s="101">
        <f ca="1">[1]!stdnum_B($C$70)</f>
        <v>208.21441689623552</v>
      </c>
      <c r="C72" s="82"/>
      <c r="D72" s="77"/>
    </row>
    <row r="73" spans="1:7" x14ac:dyDescent="0.35">
      <c r="B73" s="101">
        <f ca="1">[1]!stdnum_C($C$70)</f>
        <v>277.1333888888895</v>
      </c>
      <c r="C73" s="82"/>
      <c r="D73" s="77"/>
    </row>
    <row r="74" spans="1:7" x14ac:dyDescent="0.35">
      <c r="B74" s="101">
        <f ca="1">[1]!stdnum_D($C$70)</f>
        <v>304.84672777777848</v>
      </c>
      <c r="C74" s="82"/>
      <c r="D74" s="77"/>
    </row>
    <row r="75" spans="1:7" ht="16" thickBot="1" x14ac:dyDescent="0.4">
      <c r="B75" s="102">
        <f ca="1">[1]!stdnum_E($C$70)</f>
        <v>251.939444444445</v>
      </c>
      <c r="C75" s="84"/>
      <c r="D75" s="78"/>
    </row>
    <row r="76" spans="1:7" ht="16" thickTop="1" x14ac:dyDescent="0.35"/>
    <row r="78" spans="1:7" x14ac:dyDescent="0.35">
      <c r="A78" s="120" t="s">
        <v>2112</v>
      </c>
    </row>
    <row r="79" spans="1:7" x14ac:dyDescent="0.35">
      <c r="B79" s="22" t="s">
        <v>3391</v>
      </c>
    </row>
    <row r="80" spans="1:7" x14ac:dyDescent="0.35">
      <c r="A80" s="8">
        <f ca="1">RANDBETWEEN(20,40)*15</f>
        <v>330</v>
      </c>
      <c r="B80" s="2" t="s">
        <v>2875</v>
      </c>
      <c r="C80" s="8">
        <f ca="1">C82-C81</f>
        <v>1630</v>
      </c>
      <c r="D80" s="2" t="s">
        <v>2876</v>
      </c>
    </row>
    <row r="81" spans="1:7" x14ac:dyDescent="0.35">
      <c r="A81" s="99">
        <f ca="1">RANDBETWEEN(15,40)*100</f>
        <v>3400</v>
      </c>
      <c r="B81" s="11" t="s">
        <v>2575</v>
      </c>
      <c r="C81" s="99">
        <f ca="1">ROUND(A82*RANDBETWEEN(50,80)/100,-2)</f>
        <v>2100</v>
      </c>
      <c r="D81" s="11" t="s">
        <v>3390</v>
      </c>
    </row>
    <row r="82" spans="1:7" x14ac:dyDescent="0.35">
      <c r="A82" s="8">
        <f ca="1">A80+A81</f>
        <v>3730</v>
      </c>
      <c r="B82" s="2" t="s">
        <v>2439</v>
      </c>
      <c r="C82" s="8">
        <f ca="1">A82</f>
        <v>3730</v>
      </c>
    </row>
    <row r="85" spans="1:7" x14ac:dyDescent="0.35">
      <c r="A85" s="8">
        <f ca="1">ROUND(A81*RANDBETWEEN(8,15)/100,-1)</f>
        <v>270</v>
      </c>
      <c r="B85" s="28" t="s">
        <v>2068</v>
      </c>
      <c r="D85" s="161" t="s">
        <v>2073</v>
      </c>
      <c r="E85" s="8">
        <f ca="1">ROUND(A88*RANDBETWEEN(20,60)/100,0)</f>
        <v>234</v>
      </c>
    </row>
    <row r="86" spans="1:7" x14ac:dyDescent="0.35">
      <c r="A86" s="8">
        <f ca="1">ROUND(C80*RANDBETWEEN(6,12)/100,-1)</f>
        <v>200</v>
      </c>
      <c r="B86" s="28" t="s">
        <v>2863</v>
      </c>
      <c r="D86" s="161" t="s">
        <v>2559</v>
      </c>
      <c r="E86" s="8">
        <f ca="1">A86-E87+E85-E88</f>
        <v>103</v>
      </c>
    </row>
    <row r="87" spans="1:7" x14ac:dyDescent="0.35">
      <c r="A87" s="8">
        <f ca="1">ROUND(A85*(IF(RANDBETWEEN(0,1)=0,1/1.2,1.2)),-1)</f>
        <v>230</v>
      </c>
      <c r="B87" s="28" t="s">
        <v>2560</v>
      </c>
      <c r="D87" s="161" t="s">
        <v>710</v>
      </c>
      <c r="E87" s="8">
        <f ca="1">ROUND(RANDBETWEEN(3,12)/100*C80*(IF(RANDBETWEEN(0,1)=0,1,-1)),0)</f>
        <v>163</v>
      </c>
      <c r="F87" s="163" t="str">
        <f ca="1">IF(E87&gt;0,"increases","decreases")</f>
        <v>increases</v>
      </c>
    </row>
    <row r="88" spans="1:7" x14ac:dyDescent="0.35">
      <c r="A88" s="8">
        <f ca="1">ROUND(A82*RANDBETWEEN(9,16)/100,-1)</f>
        <v>410</v>
      </c>
      <c r="B88" s="28" t="s">
        <v>2072</v>
      </c>
      <c r="D88" s="161" t="s">
        <v>2669</v>
      </c>
      <c r="E88" s="8">
        <f ca="1">ROUND(RANDBETWEEN(3,12)/100*C81*(IF(RANDBETWEEN(0,1)=0,1,-1)),0)</f>
        <v>168</v>
      </c>
      <c r="F88" s="163" t="str">
        <f ca="1">IF(E88&gt;0,"issued","repurchased")</f>
        <v>issued</v>
      </c>
    </row>
    <row r="89" spans="1:7" x14ac:dyDescent="0.35">
      <c r="A89" s="28"/>
      <c r="B89" s="28"/>
      <c r="C89" s="28"/>
      <c r="D89" s="161" t="s">
        <v>2670</v>
      </c>
      <c r="E89" s="8">
        <f ca="1">IF(ABS(A88-E85+A85+E87+E88-A87)&lt;30,"#RECALCULATE",A88-E85+A85+E87+E88-A87)</f>
        <v>547</v>
      </c>
      <c r="F89" s="163" t="str">
        <f ca="1">IF(E89&gt;0,"increases","decreases")</f>
        <v>increases</v>
      </c>
    </row>
    <row r="90" spans="1:7" x14ac:dyDescent="0.35">
      <c r="D90" s="6" t="s">
        <v>3820</v>
      </c>
      <c r="E90" s="10">
        <f ca="1">E85-E88</f>
        <v>66</v>
      </c>
    </row>
    <row r="92" spans="1:7" x14ac:dyDescent="0.35">
      <c r="B92" s="22" t="s">
        <v>497</v>
      </c>
      <c r="G92" s="2" t="s">
        <v>1363</v>
      </c>
    </row>
    <row r="93" spans="1:7" x14ac:dyDescent="0.35">
      <c r="A93" s="8">
        <f ca="1">A95-A94</f>
        <v>877</v>
      </c>
      <c r="B93" s="2" t="s">
        <v>2875</v>
      </c>
      <c r="C93" s="8">
        <f ca="1">C80+E87</f>
        <v>1793</v>
      </c>
      <c r="D93" s="2" t="s">
        <v>2876</v>
      </c>
      <c r="G93" s="149">
        <f ca="1">IF(G94="cash surplus",E89,IF(G94="cash flow to shareholders",E90,C94))</f>
        <v>547</v>
      </c>
    </row>
    <row r="94" spans="1:7" x14ac:dyDescent="0.35">
      <c r="A94" s="99">
        <f ca="1">A81-A85+A87</f>
        <v>3360</v>
      </c>
      <c r="B94" s="11" t="s">
        <v>2575</v>
      </c>
      <c r="C94" s="99">
        <f ca="1">C81+A88-E85+E88</f>
        <v>2444</v>
      </c>
      <c r="D94" s="11" t="s">
        <v>3390</v>
      </c>
      <c r="G94" s="71" t="str">
        <f ca="1">CHOOSE(RANDBETWEEN(1,3),"cash surplus","cash flow to shareholders","Stockholders Equity")</f>
        <v>cash surplus</v>
      </c>
    </row>
    <row r="95" spans="1:7" x14ac:dyDescent="0.35">
      <c r="A95" s="8">
        <f ca="1">C95</f>
        <v>4237</v>
      </c>
      <c r="B95" s="2" t="s">
        <v>2439</v>
      </c>
      <c r="C95" s="8">
        <f ca="1">C93+C94</f>
        <v>4237</v>
      </c>
    </row>
    <row r="97" spans="2:12" ht="16" thickBot="1" x14ac:dyDescent="0.4">
      <c r="B97" s="88" t="s">
        <v>1208</v>
      </c>
      <c r="F97" s="88" t="s">
        <v>1210</v>
      </c>
      <c r="J97" s="120" t="s">
        <v>1212</v>
      </c>
    </row>
    <row r="98" spans="2:12" ht="16.5" thickTop="1" thickBot="1" x14ac:dyDescent="0.4">
      <c r="B98" s="76" t="str">
        <f ca="1">[1]!std_ans($C$98)</f>
        <v>E</v>
      </c>
      <c r="C98" s="79" t="str">
        <f ca="1" xml:space="preserve"> "/\" &amp;RANDBETWEEN( 1,120) &amp; "/\" &amp;RANDBETWEEN( 1,120) &amp; "/\" &amp;0.1 &amp; "/\" &amp; E89</f>
        <v>/\40/\96/\0.1/\547</v>
      </c>
      <c r="D98" s="80" t="s">
        <v>1209</v>
      </c>
      <c r="F98" s="76" t="str">
        <f ca="1">[1]!std_ans($G$98)</f>
        <v>A</v>
      </c>
      <c r="G98" s="79" t="str">
        <f ca="1" xml:space="preserve"> "/\" &amp;RANDBETWEEN( 1,120) &amp; "/\" &amp;RANDBETWEEN( 1,120) &amp; "/\" &amp;0.1 &amp; "/\" &amp; E90</f>
        <v>/\15/\97/\0.1/\66</v>
      </c>
      <c r="H98" s="80" t="s">
        <v>1211</v>
      </c>
      <c r="J98" s="76" t="str">
        <f ca="1">[1]!std_ans($K$98)</f>
        <v>E</v>
      </c>
      <c r="K98" s="79" t="str">
        <f ca="1" xml:space="preserve"> "/\" &amp;RANDBETWEEN( 1,120) &amp; "/\" &amp;RANDBETWEEN( 1,120) &amp; "/\" &amp;0.1 &amp; "/\" &amp; C94</f>
        <v>/\66/\38/\0.1/\2444</v>
      </c>
      <c r="L98" s="80" t="s">
        <v>1213</v>
      </c>
    </row>
    <row r="99" spans="2:12" ht="16" thickTop="1" x14ac:dyDescent="0.35">
      <c r="B99" s="110">
        <f ca="1">[1]!stdnum_A($C$98)</f>
        <v>601.70000000000005</v>
      </c>
      <c r="C99" s="82"/>
      <c r="D99" s="77"/>
      <c r="F99" s="110">
        <f ca="1">[1]!stdnum_A($G$98)</f>
        <v>66</v>
      </c>
      <c r="G99" s="82"/>
      <c r="H99" s="77"/>
      <c r="J99" s="110">
        <f ca="1">[1]!stdnum_A($K$98)</f>
        <v>2221.8181818181815</v>
      </c>
      <c r="K99" s="82"/>
      <c r="L99" s="77"/>
    </row>
    <row r="100" spans="2:12" x14ac:dyDescent="0.35">
      <c r="B100" s="110">
        <f ca="1">[1]!stdnum_B($C$98)</f>
        <v>452.06611570247929</v>
      </c>
      <c r="C100" s="82"/>
      <c r="D100" s="77"/>
      <c r="F100" s="110">
        <f ca="1">[1]!stdnum_B($G$98)</f>
        <v>54.54545454545454</v>
      </c>
      <c r="G100" s="82"/>
      <c r="H100" s="77"/>
      <c r="J100" s="110">
        <f ca="1">[1]!stdnum_B($K$98)</f>
        <v>3252.9640000000009</v>
      </c>
      <c r="K100" s="82"/>
      <c r="L100" s="77"/>
    </row>
    <row r="101" spans="2:12" x14ac:dyDescent="0.35">
      <c r="B101" s="110">
        <f ca="1">[1]!stdnum_C($C$98)</f>
        <v>497.27272727272725</v>
      </c>
      <c r="C101" s="82"/>
      <c r="D101" s="77"/>
      <c r="F101" s="110">
        <f ca="1">[1]!stdnum_C($G$98)</f>
        <v>49.58677685950412</v>
      </c>
      <c r="G101" s="82"/>
      <c r="H101" s="77"/>
      <c r="J101" s="110">
        <f ca="1">[1]!stdnum_C($K$98)</f>
        <v>2688.4</v>
      </c>
      <c r="K101" s="82"/>
      <c r="L101" s="77"/>
    </row>
    <row r="102" spans="2:12" x14ac:dyDescent="0.35">
      <c r="B102" s="110">
        <f ca="1">[1]!stdnum_D($C$98)</f>
        <v>410.96919609316291</v>
      </c>
      <c r="C102" s="82"/>
      <c r="D102" s="77"/>
      <c r="F102" s="110">
        <f ca="1">[1]!stdnum_D($G$98)</f>
        <v>45.078888054094655</v>
      </c>
      <c r="G102" s="82"/>
      <c r="H102" s="77"/>
      <c r="J102" s="110">
        <f ca="1">[1]!stdnum_D($K$98)</f>
        <v>2957.2400000000002</v>
      </c>
      <c r="K102" s="82"/>
      <c r="L102" s="77"/>
    </row>
    <row r="103" spans="2:12" ht="16" thickBot="1" x14ac:dyDescent="0.4">
      <c r="B103" s="111">
        <f ca="1">[1]!stdnum_E($C$98)</f>
        <v>547</v>
      </c>
      <c r="C103" s="84"/>
      <c r="D103" s="78"/>
      <c r="F103" s="111">
        <f ca="1">[1]!stdnum_E($G$98)</f>
        <v>60</v>
      </c>
      <c r="G103" s="84"/>
      <c r="H103" s="78"/>
      <c r="J103" s="111">
        <f ca="1">[1]!stdnum_E($K$98)</f>
        <v>2444</v>
      </c>
      <c r="K103" s="84"/>
      <c r="L103" s="78"/>
    </row>
    <row r="104" spans="2:12" ht="16" thickTop="1" x14ac:dyDescent="0.35"/>
    <row r="105" spans="2:12" ht="16" thickBot="1" x14ac:dyDescent="0.4">
      <c r="B105" s="88" t="s">
        <v>1214</v>
      </c>
      <c r="F105" s="120" t="s">
        <v>310</v>
      </c>
      <c r="G105" s="123"/>
      <c r="H105" s="123"/>
      <c r="J105" s="88" t="s">
        <v>312</v>
      </c>
    </row>
    <row r="106" spans="2:12" ht="16.5" thickTop="1" thickBot="1" x14ac:dyDescent="0.4">
      <c r="B106" s="76" t="str">
        <f ca="1">[1]!std_ans($C$106)</f>
        <v>A</v>
      </c>
      <c r="C106" s="79" t="str">
        <f ca="1" xml:space="preserve"> "/\" &amp;RANDBETWEEN( 1,120) &amp; "/\" &amp;RANDBETWEEN( 1,120) &amp; "/\" &amp;0.1 &amp; "/\" &amp; G93</f>
        <v>/\19/\23/\0.1/\547</v>
      </c>
      <c r="D106" s="80" t="s">
        <v>1215</v>
      </c>
      <c r="F106" s="76" t="str">
        <f ca="1">[1]!std_ans($G$106)</f>
        <v>C</v>
      </c>
      <c r="G106" s="164" t="str">
        <f ca="1" xml:space="preserve"> "/\" &amp;RANDBETWEEN( 1,120) &amp; "/\" &amp;RANDBETWEEN( 1,120) &amp; "/\" &amp;0.1 &amp; "/\" &amp; E88</f>
        <v>/\38/\67/\0.1/\168</v>
      </c>
      <c r="H106" s="80" t="s">
        <v>311</v>
      </c>
      <c r="J106" s="76" t="str">
        <f ca="1">[1]!std_ans($K$106)</f>
        <v>C</v>
      </c>
      <c r="K106" s="79" t="str">
        <f ca="1" xml:space="preserve"> "/\" &amp;RANDBETWEEN( 1,120) &amp; "/\" &amp;RANDBETWEEN( 1,120) &amp; "/\" &amp;0.1 &amp; "/\" &amp; E89</f>
        <v>/\103/\111/\0.1/\547</v>
      </c>
      <c r="L106" s="80" t="s">
        <v>313</v>
      </c>
    </row>
    <row r="107" spans="2:12" ht="16" thickTop="1" x14ac:dyDescent="0.35">
      <c r="B107" s="110">
        <f ca="1">[1]!stdnum_A($C$106)</f>
        <v>547</v>
      </c>
      <c r="C107" s="82"/>
      <c r="D107" s="77"/>
      <c r="F107" s="110">
        <f ca="1">[1]!stdnum_A($G$106)</f>
        <v>203.28000000000003</v>
      </c>
      <c r="G107" s="82"/>
      <c r="H107" s="77"/>
      <c r="J107" s="110">
        <f ca="1">[1]!stdnum_A($K$106)</f>
        <v>497.27272727272725</v>
      </c>
      <c r="K107" s="82"/>
      <c r="L107" s="77"/>
    </row>
    <row r="108" spans="2:12" x14ac:dyDescent="0.35">
      <c r="B108" s="110">
        <f ca="1">[1]!stdnum_B($C$106)</f>
        <v>661.87000000000012</v>
      </c>
      <c r="C108" s="82"/>
      <c r="D108" s="77"/>
      <c r="F108" s="110">
        <f ca="1">[1]!stdnum_B($G$106)</f>
        <v>152.72727272727272</v>
      </c>
      <c r="G108" s="82"/>
      <c r="H108" s="77"/>
      <c r="J108" s="110">
        <f ca="1">[1]!stdnum_B($K$106)</f>
        <v>452.06611570247929</v>
      </c>
      <c r="K108" s="82"/>
      <c r="L108" s="77"/>
    </row>
    <row r="109" spans="2:12" x14ac:dyDescent="0.35">
      <c r="B109" s="110">
        <f ca="1">[1]!stdnum_C($C$106)</f>
        <v>800.86270000000025</v>
      </c>
      <c r="C109" s="82"/>
      <c r="D109" s="77"/>
      <c r="F109" s="110">
        <f ca="1">[1]!stdnum_C($G$106)</f>
        <v>168</v>
      </c>
      <c r="G109" s="82"/>
      <c r="H109" s="77"/>
      <c r="J109" s="110">
        <f ca="1">[1]!stdnum_C($K$106)</f>
        <v>547</v>
      </c>
      <c r="K109" s="82"/>
      <c r="L109" s="77"/>
    </row>
    <row r="110" spans="2:12" x14ac:dyDescent="0.35">
      <c r="B110" s="110">
        <f ca="1">[1]!stdnum_D($C$106)</f>
        <v>728.05700000000024</v>
      </c>
      <c r="C110" s="82"/>
      <c r="D110" s="77"/>
      <c r="F110" s="110">
        <f ca="1">[1]!stdnum_D($G$106)</f>
        <v>184.8</v>
      </c>
      <c r="G110" s="82"/>
      <c r="H110" s="77"/>
      <c r="J110" s="110">
        <f ca="1">[1]!stdnum_D($K$106)</f>
        <v>410.96919609316291</v>
      </c>
      <c r="K110" s="82"/>
      <c r="L110" s="77"/>
    </row>
    <row r="111" spans="2:12" ht="16" thickBot="1" x14ac:dyDescent="0.4">
      <c r="B111" s="111">
        <f ca="1">[1]!stdnum_E($C$106)</f>
        <v>601.70000000000005</v>
      </c>
      <c r="C111" s="84"/>
      <c r="D111" s="78"/>
      <c r="F111" s="111">
        <f ca="1">[1]!stdnum_E($G$106)</f>
        <v>138.84297520661156</v>
      </c>
      <c r="G111" s="84"/>
      <c r="H111" s="78"/>
      <c r="J111" s="111">
        <f ca="1">[1]!stdnum_E($K$106)</f>
        <v>373.60836008469357</v>
      </c>
      <c r="K111" s="84"/>
      <c r="L111" s="78"/>
    </row>
    <row r="112" spans="2:12" ht="16" thickTop="1" x14ac:dyDescent="0.35"/>
    <row r="114" spans="1:6" x14ac:dyDescent="0.35">
      <c r="A114" s="88" t="s">
        <v>314</v>
      </c>
    </row>
    <row r="115" spans="1:6" x14ac:dyDescent="0.35">
      <c r="B115" s="22" t="s">
        <v>3391</v>
      </c>
    </row>
    <row r="116" spans="1:6" x14ac:dyDescent="0.35">
      <c r="A116" s="8">
        <f ca="1">RANDBETWEEN(20,40)*15</f>
        <v>435</v>
      </c>
      <c r="B116" s="2" t="s">
        <v>2875</v>
      </c>
      <c r="C116" s="8">
        <f ca="1">C118-C117</f>
        <v>835</v>
      </c>
      <c r="D116" s="2" t="s">
        <v>2876</v>
      </c>
    </row>
    <row r="117" spans="1:6" x14ac:dyDescent="0.35">
      <c r="A117" s="99">
        <f ca="1">RANDBETWEEN(15,40)*100</f>
        <v>3000</v>
      </c>
      <c r="B117" s="11" t="s">
        <v>2575</v>
      </c>
      <c r="C117" s="99">
        <f ca="1">ROUND(A118*RANDBETWEEN(50,80)/100,-2)</f>
        <v>2600</v>
      </c>
      <c r="D117" s="11" t="s">
        <v>3390</v>
      </c>
    </row>
    <row r="118" spans="1:6" x14ac:dyDescent="0.35">
      <c r="A118" s="8">
        <f ca="1">A116+A117</f>
        <v>3435</v>
      </c>
      <c r="B118" s="2" t="s">
        <v>2439</v>
      </c>
      <c r="C118" s="8">
        <f ca="1">A118</f>
        <v>3435</v>
      </c>
    </row>
    <row r="121" spans="1:6" x14ac:dyDescent="0.35">
      <c r="A121" s="8">
        <f ca="1">ROUND(A117*RANDBETWEEN(8,15)/100,-1)</f>
        <v>420</v>
      </c>
      <c r="B121" s="28" t="s">
        <v>2068</v>
      </c>
      <c r="D121" s="161" t="s">
        <v>2073</v>
      </c>
      <c r="E121" s="8">
        <f ca="1">ROUND(A124*RANDBETWEEN(20,60)/100,0)</f>
        <v>149</v>
      </c>
    </row>
    <row r="122" spans="1:6" x14ac:dyDescent="0.35">
      <c r="A122" s="8">
        <f ca="1">ROUND(C116*RANDBETWEEN(6,12)/100,-1)</f>
        <v>80</v>
      </c>
      <c r="B122" s="28" t="s">
        <v>2863</v>
      </c>
      <c r="D122" s="161" t="s">
        <v>2559</v>
      </c>
      <c r="E122" s="8">
        <f ca="1">A122-E123+E121-E124</f>
        <v>457</v>
      </c>
    </row>
    <row r="123" spans="1:6" x14ac:dyDescent="0.35">
      <c r="A123" s="8">
        <f ca="1">ROUND(A121*(IF(RANDBETWEEN(0,1)=0,1/1.2,1.2)),-1)</f>
        <v>500</v>
      </c>
      <c r="B123" s="28" t="s">
        <v>2560</v>
      </c>
      <c r="D123" s="161" t="s">
        <v>710</v>
      </c>
      <c r="E123" s="8">
        <f ca="1">ROUND(RANDBETWEEN(3,12)/100*C116*(IF(RANDBETWEEN(0,1)=0,1,-1)),0)</f>
        <v>84</v>
      </c>
      <c r="F123" s="163" t="str">
        <f ca="1">IF(E123&gt;0,"increases","decreases")</f>
        <v>increases</v>
      </c>
    </row>
    <row r="124" spans="1:6" x14ac:dyDescent="0.35">
      <c r="A124" s="8">
        <f ca="1">ROUND(A118*RANDBETWEEN(9,16)/100,-1)</f>
        <v>550</v>
      </c>
      <c r="B124" s="28" t="s">
        <v>2072</v>
      </c>
      <c r="D124" s="161" t="s">
        <v>2669</v>
      </c>
      <c r="E124" s="8">
        <f ca="1">ROUND(RANDBETWEEN(3,12)/100*C117*(IF(RANDBETWEEN(0,1)=0,1,-1)),0)</f>
        <v>-312</v>
      </c>
      <c r="F124" s="163" t="str">
        <f ca="1">IF(E124&gt;0,"issued","repurchased")</f>
        <v>repurchased</v>
      </c>
    </row>
    <row r="125" spans="1:6" x14ac:dyDescent="0.35">
      <c r="A125" s="28"/>
      <c r="B125" s="28"/>
      <c r="C125" s="28"/>
      <c r="D125" s="161" t="s">
        <v>2670</v>
      </c>
      <c r="E125" s="8">
        <f ca="1">A124-E121+A121+E123+E124-A123</f>
        <v>93</v>
      </c>
      <c r="F125" s="163" t="str">
        <f ca="1">IF(E125&gt;0,"increases","decreases")</f>
        <v>increases</v>
      </c>
    </row>
    <row r="126" spans="1:6" x14ac:dyDescent="0.35">
      <c r="D126" s="6" t="s">
        <v>3820</v>
      </c>
      <c r="E126" s="10">
        <f ca="1">IF(ABS(E121-E124)&lt;70,"#RECALCULATE",E121-E124)</f>
        <v>461</v>
      </c>
    </row>
    <row r="128" spans="1:6" x14ac:dyDescent="0.35">
      <c r="B128" s="22" t="s">
        <v>497</v>
      </c>
    </row>
    <row r="129" spans="1:7" x14ac:dyDescent="0.35">
      <c r="A129" s="8">
        <f ca="1">A131-A130</f>
        <v>528</v>
      </c>
      <c r="B129" s="2" t="s">
        <v>2875</v>
      </c>
      <c r="C129" s="8">
        <f ca="1">C116+E123</f>
        <v>919</v>
      </c>
      <c r="D129" s="2" t="s">
        <v>2876</v>
      </c>
    </row>
    <row r="130" spans="1:7" x14ac:dyDescent="0.35">
      <c r="A130" s="99">
        <f ca="1">A117-A121+A123</f>
        <v>3080</v>
      </c>
      <c r="B130" s="11" t="s">
        <v>2575</v>
      </c>
      <c r="C130" s="99">
        <f ca="1">C117+A124-E121+E124</f>
        <v>2689</v>
      </c>
      <c r="D130" s="11" t="s">
        <v>3390</v>
      </c>
    </row>
    <row r="131" spans="1:7" x14ac:dyDescent="0.35">
      <c r="A131" s="8">
        <f ca="1">C131</f>
        <v>3608</v>
      </c>
      <c r="B131" s="2" t="s">
        <v>2439</v>
      </c>
      <c r="C131" s="8">
        <f ca="1">C129+C130</f>
        <v>3608</v>
      </c>
    </row>
    <row r="132" spans="1:7" ht="16" thickBot="1" x14ac:dyDescent="0.4"/>
    <row r="133" spans="1:7" ht="16.5" thickTop="1" thickBot="1" x14ac:dyDescent="0.4">
      <c r="B133" s="76" t="str">
        <f ca="1">[1]!std_ans($C$133)</f>
        <v>D</v>
      </c>
      <c r="C133" s="79" t="str">
        <f ca="1" xml:space="preserve"> "/\" &amp;RANDBETWEEN( 1,120) &amp; "/\" &amp;RANDBETWEEN( 1,120) &amp; "/\" &amp;0.1 &amp; "/\" &amp; E126</f>
        <v>/\59/\67/\0.1/\461</v>
      </c>
      <c r="D133" s="80" t="s">
        <v>315</v>
      </c>
    </row>
    <row r="134" spans="1:7" ht="16" thickTop="1" x14ac:dyDescent="0.35">
      <c r="B134" s="110">
        <f ca="1">[1]!stdnum_A($C$133)</f>
        <v>380.99173553719004</v>
      </c>
      <c r="C134" s="82"/>
      <c r="D134" s="77"/>
    </row>
    <row r="135" spans="1:7" x14ac:dyDescent="0.35">
      <c r="B135" s="110">
        <f ca="1">[1]!stdnum_B($C$133)</f>
        <v>557.81000000000006</v>
      </c>
      <c r="C135" s="82"/>
      <c r="D135" s="77"/>
    </row>
    <row r="136" spans="1:7" x14ac:dyDescent="0.35">
      <c r="B136" s="110">
        <f ca="1">[1]!stdnum_C($C$133)</f>
        <v>507.1</v>
      </c>
      <c r="C136" s="82"/>
      <c r="D136" s="77"/>
    </row>
    <row r="137" spans="1:7" x14ac:dyDescent="0.35">
      <c r="B137" s="110">
        <f ca="1">[1]!stdnum_D($C$133)</f>
        <v>461</v>
      </c>
      <c r="C137" s="82"/>
      <c r="D137" s="77"/>
    </row>
    <row r="138" spans="1:7" ht="16" thickBot="1" x14ac:dyDescent="0.4">
      <c r="B138" s="111">
        <f ca="1">[1]!stdnum_E($C$133)</f>
        <v>419.09090909090907</v>
      </c>
      <c r="C138" s="84"/>
      <c r="D138" s="78"/>
    </row>
    <row r="139" spans="1:7" ht="16" thickTop="1" x14ac:dyDescent="0.35"/>
    <row r="141" spans="1:7" x14ac:dyDescent="0.35">
      <c r="A141" s="120" t="s">
        <v>316</v>
      </c>
    </row>
    <row r="142" spans="1:7" x14ac:dyDescent="0.35">
      <c r="B142" s="22" t="s">
        <v>3391</v>
      </c>
      <c r="F142" s="22" t="s">
        <v>3393</v>
      </c>
    </row>
    <row r="143" spans="1:7" x14ac:dyDescent="0.35">
      <c r="A143" s="8">
        <f ca="1">RANDBETWEEN(20,40)*15</f>
        <v>420</v>
      </c>
      <c r="B143" s="2" t="s">
        <v>2875</v>
      </c>
      <c r="C143" s="8">
        <f ca="1">C146-C145-C144</f>
        <v>635</v>
      </c>
      <c r="D143" s="2" t="s">
        <v>2577</v>
      </c>
      <c r="F143" s="6" t="s">
        <v>2862</v>
      </c>
      <c r="G143" s="8">
        <f ca="1">C146*A151</f>
        <v>19810.5</v>
      </c>
    </row>
    <row r="144" spans="1:7" x14ac:dyDescent="0.35">
      <c r="A144" s="8">
        <f ca="1">RANDBETWEEN(40,60)*15</f>
        <v>795</v>
      </c>
      <c r="B144" s="2" t="s">
        <v>293</v>
      </c>
      <c r="C144" s="8">
        <f ca="1">ROUND(C145*RANDBETWEEN(10,15)/50,-1)</f>
        <v>780</v>
      </c>
      <c r="D144" s="2" t="s">
        <v>2993</v>
      </c>
      <c r="F144" s="6" t="s">
        <v>1948</v>
      </c>
      <c r="G144" s="8">
        <f ca="1">G143-G145-G146</f>
        <v>16962.2925</v>
      </c>
    </row>
    <row r="145" spans="1:9" x14ac:dyDescent="0.35">
      <c r="A145" s="99">
        <f ca="1">RANDBETWEEN(15,40)*100</f>
        <v>3000</v>
      </c>
      <c r="B145" s="11" t="s">
        <v>2575</v>
      </c>
      <c r="C145" s="99">
        <f ca="1">ROUND(A146*RANDBETWEEN(50,70)/100,-2)</f>
        <v>2800</v>
      </c>
      <c r="D145" s="11" t="s">
        <v>3390</v>
      </c>
      <c r="F145" s="6" t="s">
        <v>2068</v>
      </c>
      <c r="G145" s="8">
        <f ca="1">A145*A152</f>
        <v>570</v>
      </c>
    </row>
    <row r="146" spans="1:9" x14ac:dyDescent="0.35">
      <c r="A146" s="8">
        <f ca="1">A143+A145+A144</f>
        <v>4215</v>
      </c>
      <c r="B146" s="2" t="s">
        <v>2439</v>
      </c>
      <c r="C146" s="8">
        <f ca="1">A146</f>
        <v>4215</v>
      </c>
      <c r="F146" s="6" t="s">
        <v>2992</v>
      </c>
      <c r="G146" s="8">
        <f ca="1">G143*A153</f>
        <v>2278.2075</v>
      </c>
    </row>
    <row r="147" spans="1:9" x14ac:dyDescent="0.35">
      <c r="F147" s="6" t="s">
        <v>2863</v>
      </c>
      <c r="G147" s="8">
        <f ca="1">C144*A154</f>
        <v>63.18</v>
      </c>
    </row>
    <row r="148" spans="1:9" x14ac:dyDescent="0.35">
      <c r="F148" s="6" t="s">
        <v>2571</v>
      </c>
      <c r="G148" s="24">
        <f ca="1">A155*(G146-G147)</f>
        <v>775.25962500000003</v>
      </c>
    </row>
    <row r="149" spans="1:9" x14ac:dyDescent="0.35">
      <c r="A149" s="407" t="s">
        <v>179</v>
      </c>
      <c r="B149" s="407"/>
      <c r="C149" s="407"/>
      <c r="F149" s="6" t="s">
        <v>2072</v>
      </c>
      <c r="G149" s="8">
        <f ca="1">G146-G147-G148</f>
        <v>1439.767875</v>
      </c>
    </row>
    <row r="150" spans="1:9" x14ac:dyDescent="0.35">
      <c r="A150" s="2">
        <f ca="1">ROUND(C145/20,-1)</f>
        <v>140</v>
      </c>
      <c r="B150" s="2" t="s">
        <v>2673</v>
      </c>
      <c r="F150" s="6" t="s">
        <v>2073</v>
      </c>
      <c r="G150" s="24">
        <f ca="1">G149*A156</f>
        <v>575.90715</v>
      </c>
    </row>
    <row r="151" spans="1:9" x14ac:dyDescent="0.35">
      <c r="A151" s="35">
        <f ca="1">RANDBETWEEN(20,50)/10</f>
        <v>4.7</v>
      </c>
      <c r="B151" s="2" t="s">
        <v>2249</v>
      </c>
      <c r="F151" s="6" t="s">
        <v>1608</v>
      </c>
      <c r="G151" s="165">
        <f ca="1">G149-G150</f>
        <v>863.860725</v>
      </c>
    </row>
    <row r="152" spans="1:9" x14ac:dyDescent="0.35">
      <c r="A152" s="12">
        <f ca="1">RANDBETWEEN(12,20)/100</f>
        <v>0.19</v>
      </c>
      <c r="B152" s="2" t="s">
        <v>2996</v>
      </c>
      <c r="D152" s="11"/>
      <c r="F152" s="6"/>
    </row>
    <row r="153" spans="1:9" x14ac:dyDescent="0.35">
      <c r="A153" s="29">
        <f ca="1">RANDBETWEEN(70,120)/1000</f>
        <v>0.115</v>
      </c>
      <c r="B153" s="2" t="s">
        <v>2994</v>
      </c>
      <c r="F153" s="6" t="s">
        <v>523</v>
      </c>
      <c r="G153" s="10">
        <f ca="1">G146-G148+G145</f>
        <v>2072.9478749999998</v>
      </c>
    </row>
    <row r="154" spans="1:9" x14ac:dyDescent="0.35">
      <c r="A154" s="29">
        <f ca="1">RANDBETWEEN(80,120)/1000</f>
        <v>8.1000000000000003E-2</v>
      </c>
      <c r="B154" s="2" t="s">
        <v>2995</v>
      </c>
      <c r="F154" s="6" t="s">
        <v>1337</v>
      </c>
      <c r="G154" s="35">
        <f ca="1">A158/(G153/A150)</f>
        <v>15.557940838237432</v>
      </c>
    </row>
    <row r="155" spans="1:9" x14ac:dyDescent="0.35">
      <c r="A155" s="12">
        <f ca="1">IF((RANDBETWEEN(0,1))=0,0.33,0.35)</f>
        <v>0.35</v>
      </c>
      <c r="B155" s="2" t="s">
        <v>643</v>
      </c>
      <c r="F155" s="6"/>
    </row>
    <row r="156" spans="1:9" x14ac:dyDescent="0.35">
      <c r="A156" s="32">
        <f ca="1">RANDBETWEEN(7,13)*5/100</f>
        <v>0.4</v>
      </c>
      <c r="B156" s="2" t="s">
        <v>2877</v>
      </c>
      <c r="F156" s="6" t="s">
        <v>3819</v>
      </c>
      <c r="G156" s="35">
        <f ca="1">G154*(1+RANDBETWEEN(36,45)/100)^(IF(RANDBETWEEN(0,1)=0,1,-1))</f>
        <v>10.729614371198229</v>
      </c>
      <c r="H156" s="6" t="s">
        <v>2972</v>
      </c>
      <c r="I156" s="2" t="str">
        <f ca="1">IF(G156&lt;G154,"and a dollar of the company's cash flow is relatively expensive in the sharemarket", "and a dollar of the company's cash flow is relatively cheap in the sharemarket")</f>
        <v>and a dollar of the company's cash flow is relatively expensive in the sharemarket</v>
      </c>
    </row>
    <row r="157" spans="1:9" x14ac:dyDescent="0.35">
      <c r="A157" s="35">
        <f ca="1">RANDBETWEEN(120,300)/10</f>
        <v>22.4</v>
      </c>
      <c r="B157" s="2" t="s">
        <v>176</v>
      </c>
      <c r="E157" s="407"/>
      <c r="F157" s="407"/>
      <c r="H157" s="6" t="s">
        <v>1876</v>
      </c>
      <c r="I157" s="2" t="str">
        <f ca="1">IF(G156&gt;G154,"and a dollar of the company's cash flow is relatively expensive in the sharemarket", "and a dollar of the company's cash flow is relatively cheap in the sharemarket")</f>
        <v>and a dollar of the company's cash flow is relatively cheap in the sharemarket</v>
      </c>
    </row>
    <row r="158" spans="1:9" x14ac:dyDescent="0.35">
      <c r="A158" s="27">
        <f ca="1">A157*G149/A150</f>
        <v>230.36285999999998</v>
      </c>
      <c r="B158" s="2" t="s">
        <v>180</v>
      </c>
      <c r="E158" s="24"/>
    </row>
    <row r="160" spans="1:9" ht="16" thickBot="1" x14ac:dyDescent="0.4">
      <c r="B160" s="120" t="s">
        <v>132</v>
      </c>
    </row>
    <row r="161" spans="2:8" ht="16.5" thickTop="1" thickBot="1" x14ac:dyDescent="0.4">
      <c r="B161" s="76" t="str">
        <f ca="1">[1]!std_ans($C$161)</f>
        <v>B</v>
      </c>
      <c r="C161" s="79" t="str">
        <f ca="1" xml:space="preserve"> "/\" &amp;RANDBETWEEN( 1,120) &amp; "/\" &amp;RANDBETWEEN( 1,120) &amp; "/\" &amp;0.1 &amp; "/\" &amp; G154</f>
        <v>/\73/\40/\0.1/\15.5579408382374</v>
      </c>
      <c r="D161" s="80" t="s">
        <v>133</v>
      </c>
    </row>
    <row r="162" spans="2:8" ht="16" thickTop="1" x14ac:dyDescent="0.35">
      <c r="B162" s="139">
        <f ca="1">[1]!stdnum_A($C$161)</f>
        <v>20.707619255693984</v>
      </c>
      <c r="C162" s="82"/>
      <c r="D162" s="77"/>
    </row>
    <row r="163" spans="2:8" x14ac:dyDescent="0.35">
      <c r="B163" s="139">
        <f ca="1">[1]!stdnum_B($C$161)</f>
        <v>15.5579408382374</v>
      </c>
      <c r="C163" s="82"/>
      <c r="D163" s="77"/>
    </row>
    <row r="164" spans="2:8" x14ac:dyDescent="0.35">
      <c r="B164" s="139">
        <f ca="1">[1]!stdnum_C($C$161)</f>
        <v>18.825108414267255</v>
      </c>
      <c r="C164" s="82"/>
      <c r="D164" s="77"/>
    </row>
    <row r="165" spans="2:8" x14ac:dyDescent="0.35">
      <c r="B165" s="139">
        <f ca="1">[1]!stdnum_D($C$161)</f>
        <v>17.113734922061141</v>
      </c>
      <c r="C165" s="82"/>
      <c r="D165" s="77"/>
    </row>
    <row r="166" spans="2:8" ht="16" thickBot="1" x14ac:dyDescent="0.4">
      <c r="B166" s="140">
        <f ca="1">[1]!stdnum_E($C$161)</f>
        <v>14.143582580215817</v>
      </c>
      <c r="C166" s="84"/>
      <c r="D166" s="78"/>
    </row>
    <row r="167" spans="2:8" ht="16" thickTop="1" x14ac:dyDescent="0.35"/>
    <row r="168" spans="2:8" ht="16" thickBot="1" x14ac:dyDescent="0.4">
      <c r="B168" s="120" t="s">
        <v>134</v>
      </c>
      <c r="F168" s="88" t="s">
        <v>2847</v>
      </c>
    </row>
    <row r="169" spans="2:8" ht="16.5" thickTop="1" thickBot="1" x14ac:dyDescent="0.4">
      <c r="B169" s="76" t="str">
        <f ca="1">[1]!std_ans($C$169)</f>
        <v>A</v>
      </c>
      <c r="C169" s="79" t="str">
        <f ca="1" xml:space="preserve"> "/\" &amp;RANDBETWEEN( 1,120) &amp; "/\" &amp;RANDBETWEEN( 1,120) &amp; "/\" &amp;0.1 &amp; "/\" &amp; G153</f>
        <v>/\22/\22/\0.1/\2072.947875</v>
      </c>
      <c r="D169" s="80" t="s">
        <v>135</v>
      </c>
      <c r="F169" s="76" t="str">
        <f ca="1">[1]!alpha_ans($G$169)</f>
        <v>A</v>
      </c>
      <c r="G169" s="79" t="str">
        <f ca="1" xml:space="preserve"> "/\" &amp;RANDBETWEEN( 1,5) &amp; "/\" &amp;RANDBETWEEN( 1,120) &amp; "/\" &amp;RANDBETWEEN( 1,6) &amp; "/\" &amp;RANDBETWEEN( 1,2) &amp; "/\" &amp; G154 &amp; "/\" &amp; "Mask" &amp; "/\" &amp; "Mask" &amp; "/\" &amp; I156 &amp; "/\" &amp; I157</f>
        <v>/\1/\69/\5/\2/\15.5579408382374/\Mask/\Mask/\and a dollar of the company's cash flow is relatively expensive in the sharemarket/\and a dollar of the company's cash flow is relatively cheap in the sharemarket</v>
      </c>
      <c r="H169" s="80" t="s">
        <v>3263</v>
      </c>
    </row>
    <row r="170" spans="2:8" ht="16.5" thickTop="1" thickBot="1" x14ac:dyDescent="0.4">
      <c r="B170" s="110">
        <f ca="1">[1]!stdnum_A($C$169)</f>
        <v>2072.9478749999998</v>
      </c>
      <c r="C170" s="82"/>
      <c r="D170" s="77"/>
      <c r="F170" s="139">
        <f ca="1">[1]!onepair_A($G$169)</f>
        <v>15.5579408382374</v>
      </c>
      <c r="G170" s="84" t="str">
        <f ca="1">[1]!onepair_A2($G$169)</f>
        <v>and a dollar of the company's cash flow is relatively expensive in the sharemarket</v>
      </c>
      <c r="H170" s="77"/>
    </row>
    <row r="171" spans="2:8" ht="16" thickTop="1" x14ac:dyDescent="0.35">
      <c r="B171" s="110">
        <f ca="1">[1]!stdnum_B($C$169)</f>
        <v>2280.2426624999998</v>
      </c>
      <c r="C171" s="82"/>
      <c r="D171" s="77"/>
      <c r="F171" s="139">
        <f ca="1">[1]!onepair_B($G$169)</f>
        <v>13.528644207163</v>
      </c>
      <c r="G171" s="82" t="str">
        <f ca="1">[1]!onepair_B2($G$169)</f>
        <v>and a dollar of the company's cash flow is relatively cheap in the sharemarket</v>
      </c>
      <c r="H171" s="77"/>
    </row>
    <row r="172" spans="2:8" x14ac:dyDescent="0.35">
      <c r="B172" s="110">
        <f ca="1">[1]!stdnum_C($C$169)</f>
        <v>2508.2669287500003</v>
      </c>
      <c r="C172" s="82"/>
      <c r="D172" s="77"/>
      <c r="F172" s="139">
        <f ca="1">[1]!onepair_C($G$169)</f>
        <v>11.7640384410113</v>
      </c>
      <c r="G172" s="82" t="str">
        <f ca="1">[1]!onepair_C2($G$169)</f>
        <v>and a dollar of the company's cash flow is relatively expensive in the sharemarket</v>
      </c>
      <c r="H172" s="77"/>
    </row>
    <row r="173" spans="2:8" x14ac:dyDescent="0.35">
      <c r="B173" s="110">
        <f ca="1">[1]!stdnum_D($C$169)</f>
        <v>2759.0936216250007</v>
      </c>
      <c r="C173" s="82"/>
      <c r="D173" s="77"/>
      <c r="F173" s="139">
        <f ca="1">[1]!onepair_D($G$169)</f>
        <v>15.5579408382374</v>
      </c>
      <c r="G173" s="82" t="str">
        <f ca="1">[1]!onepair_D2($G$169)</f>
        <v>and a dollar of the company's cash flow is relatively cheap in the sharemarket</v>
      </c>
      <c r="H173" s="77"/>
    </row>
    <row r="174" spans="2:8" ht="16" thickBot="1" x14ac:dyDescent="0.4">
      <c r="B174" s="111">
        <f ca="1">[1]!stdnum_E($C$169)</f>
        <v>3035.0029837875004</v>
      </c>
      <c r="C174" s="84"/>
      <c r="D174" s="78"/>
      <c r="F174" s="140">
        <f ca="1">[1]!onepair_E($G$169)</f>
        <v>13.528644207163</v>
      </c>
      <c r="G174" s="84" t="str">
        <f ca="1">[1]!onepair_E2($G$169)</f>
        <v>and a dollar of the company's cash flow is relatively expensive in the sharemarket</v>
      </c>
      <c r="H174" s="78"/>
    </row>
    <row r="175" spans="2:8" ht="16" thickTop="1" x14ac:dyDescent="0.35"/>
    <row r="177" spans="1:6" x14ac:dyDescent="0.35">
      <c r="A177" s="88" t="s">
        <v>1549</v>
      </c>
    </row>
    <row r="178" spans="1:6" x14ac:dyDescent="0.35">
      <c r="A178" s="20">
        <f ca="1">RANDBETWEEN(20,90)*1500</f>
        <v>76500</v>
      </c>
      <c r="B178" s="2" t="s">
        <v>2862</v>
      </c>
      <c r="E178" s="10">
        <f ca="1">A178*A179</f>
        <v>4207.5</v>
      </c>
      <c r="F178" s="2" t="s">
        <v>2072</v>
      </c>
    </row>
    <row r="179" spans="1:6" x14ac:dyDescent="0.35">
      <c r="A179" s="7">
        <f ca="1">RANDBETWEEN(40,90)/1000</f>
        <v>5.5E-2</v>
      </c>
      <c r="B179" s="2" t="s">
        <v>357</v>
      </c>
      <c r="E179" s="10">
        <f ca="1">A178/A180</f>
        <v>29423.076923076922</v>
      </c>
      <c r="F179" s="2" t="s">
        <v>1724</v>
      </c>
    </row>
    <row r="180" spans="1:6" x14ac:dyDescent="0.35">
      <c r="A180" s="94">
        <f ca="1">RANDBETWEEN(14,50)/10</f>
        <v>2.6</v>
      </c>
      <c r="B180" s="2" t="s">
        <v>2249</v>
      </c>
      <c r="E180" s="10">
        <f ca="1">IF(F181=1,E178,E179)</f>
        <v>4207.5</v>
      </c>
      <c r="F180" s="2" t="str">
        <f ca="1">IF(F181=1,F178,F179)</f>
        <v>net income</v>
      </c>
    </row>
    <row r="181" spans="1:6" ht="16" thickBot="1" x14ac:dyDescent="0.4">
      <c r="F181" s="2">
        <f ca="1">(RANDBETWEEN(0,1))</f>
        <v>1</v>
      </c>
    </row>
    <row r="182" spans="1:6" ht="16.5" thickTop="1" thickBot="1" x14ac:dyDescent="0.4">
      <c r="B182" s="76" t="str">
        <f ca="1">[1]!std_ans($C$182)</f>
        <v>B</v>
      </c>
      <c r="C182" s="79" t="str">
        <f ca="1" xml:space="preserve"> "/\" &amp;RANDBETWEEN( 1,120) &amp; "/\" &amp;RANDBETWEEN( 1,120) &amp; "/\" &amp;0.1 &amp; "/\" &amp; E180</f>
        <v>/\50/\9/\0.1/\4207.5</v>
      </c>
      <c r="D182" s="80" t="s">
        <v>1550</v>
      </c>
    </row>
    <row r="183" spans="1:6" ht="16" thickTop="1" x14ac:dyDescent="0.35">
      <c r="B183" s="110">
        <f ca="1">[1]!stdnum_A($C$182)</f>
        <v>5600.1825000000017</v>
      </c>
      <c r="C183" s="82"/>
      <c r="D183" s="77"/>
    </row>
    <row r="184" spans="1:6" x14ac:dyDescent="0.35">
      <c r="B184" s="110">
        <f ca="1">[1]!stdnum_B($C$182)</f>
        <v>4207.5</v>
      </c>
      <c r="C184" s="82"/>
      <c r="D184" s="77"/>
    </row>
    <row r="185" spans="1:6" x14ac:dyDescent="0.35">
      <c r="B185" s="110">
        <f ca="1">[1]!stdnum_C($C$182)</f>
        <v>5091.0750000000007</v>
      </c>
      <c r="C185" s="82"/>
      <c r="D185" s="77"/>
    </row>
    <row r="186" spans="1:6" x14ac:dyDescent="0.35">
      <c r="B186" s="110">
        <f ca="1">[1]!stdnum_D($C$182)</f>
        <v>6160.2007500000018</v>
      </c>
      <c r="C186" s="82"/>
      <c r="D186" s="77"/>
    </row>
    <row r="187" spans="1:6" ht="16" thickBot="1" x14ac:dyDescent="0.4">
      <c r="B187" s="111">
        <f ca="1">[1]!stdnum_E($C$182)</f>
        <v>4628.25</v>
      </c>
      <c r="C187" s="84"/>
      <c r="D187" s="78"/>
    </row>
    <row r="188" spans="1:6" ht="16" thickTop="1" x14ac:dyDescent="0.35"/>
    <row r="190" spans="1:6" x14ac:dyDescent="0.35">
      <c r="A190" s="120" t="s">
        <v>3505</v>
      </c>
    </row>
    <row r="191" spans="1:6" x14ac:dyDescent="0.35">
      <c r="A191" s="179" t="s">
        <v>1551</v>
      </c>
    </row>
    <row r="192" spans="1:6" x14ac:dyDescent="0.35">
      <c r="A192" s="8">
        <f ca="1">RANDBETWEEN(40,80)*100*(IF(RANDBETWEEN(0,1)=0,1,-1))</f>
        <v>-6800</v>
      </c>
      <c r="B192" s="2" t="s">
        <v>1722</v>
      </c>
      <c r="D192" s="179" t="s">
        <v>1552</v>
      </c>
    </row>
    <row r="193" spans="1:6" x14ac:dyDescent="0.35">
      <c r="A193" s="8">
        <f ca="1">RANDBETWEEN(40,80)*100*(IF(RANDBETWEEN(0,1)=0,1,-1))</f>
        <v>7000</v>
      </c>
      <c r="B193" s="2" t="s">
        <v>193</v>
      </c>
      <c r="D193" s="10">
        <f ca="1">A192+A193-(A196+A197)</f>
        <v>-1100</v>
      </c>
      <c r="E193" s="2" t="str">
        <f ca="1">IF(D193&gt;0,"use","source")</f>
        <v>source</v>
      </c>
      <c r="F193" s="10">
        <f ca="1">A192+A193-(C196+A197)</f>
        <v>-100</v>
      </c>
    </row>
    <row r="194" spans="1:6" x14ac:dyDescent="0.35">
      <c r="A194" s="8">
        <f ca="1">RANDBETWEEN(40,80)*100*(IF(RANDBETWEEN(0,1)=0,1,-1))</f>
        <v>6800</v>
      </c>
      <c r="B194" s="2" t="s">
        <v>2575</v>
      </c>
    </row>
    <row r="195" spans="1:6" x14ac:dyDescent="0.35">
      <c r="A195" s="180" t="s">
        <v>1288</v>
      </c>
      <c r="D195" s="100" t="s">
        <v>2516</v>
      </c>
      <c r="E195" s="2" t="str">
        <f ca="1">IF(D193&lt;0,"use","source")</f>
        <v>use</v>
      </c>
    </row>
    <row r="196" spans="1:6" x14ac:dyDescent="0.35">
      <c r="A196" s="8">
        <f ca="1">IF(ABS(F193)&gt;600,C196,C196+1000*IF(F193&lt;0,1,-1))</f>
        <v>-5000</v>
      </c>
      <c r="B196" s="2" t="s">
        <v>642</v>
      </c>
      <c r="C196" s="8">
        <f ca="1">RANDBETWEEN(40,80)*100*(IF(RANDBETWEEN(0,1)=0,1,-1))</f>
        <v>-6000</v>
      </c>
      <c r="D196" s="10"/>
    </row>
    <row r="197" spans="1:6" x14ac:dyDescent="0.35">
      <c r="A197" s="8">
        <f ca="1">RANDBETWEEN(40,80)*100*(IF(RANDBETWEEN(0,1)=0,1,-1))</f>
        <v>6300</v>
      </c>
      <c r="B197" s="2" t="s">
        <v>1339</v>
      </c>
      <c r="D197" s="10"/>
    </row>
    <row r="198" spans="1:6" x14ac:dyDescent="0.35">
      <c r="A198" s="8">
        <f ca="1">RANDBETWEEN(40,80)*100*(IF(RANDBETWEEN(0,1)=0,1,-1))</f>
        <v>-4900</v>
      </c>
      <c r="B198" s="2" t="s">
        <v>1723</v>
      </c>
    </row>
    <row r="199" spans="1:6" ht="16" thickBot="1" x14ac:dyDescent="0.4"/>
    <row r="200" spans="1:6" ht="16.5" thickTop="1" thickBot="1" x14ac:dyDescent="0.4">
      <c r="B200" s="76" t="str">
        <f ca="1">[1]!alpha_ans($C$200)</f>
        <v>C</v>
      </c>
      <c r="C200" s="79" t="str">
        <f ca="1" xml:space="preserve"> "/\" &amp;RANDBETWEEN( 1,5) &amp; "/\" &amp;RANDBETWEEN( 1,120) &amp; "/\" &amp;RANDBETWEEN( 1,6) &amp; "/\" &amp;RANDBETWEEN( 1,2) &amp; "/\" &amp; D193 &amp; "/\" &amp; "Mask" &amp; "/\" &amp; "Mask" &amp; "/\" &amp; E193 &amp; "/\" &amp;E195</f>
        <v>/\3/\77/\6/\2/\-1100/\Mask/\Mask/\source/\use</v>
      </c>
      <c r="D200" s="80" t="s">
        <v>3506</v>
      </c>
    </row>
    <row r="201" spans="1:6" ht="16" thickTop="1" x14ac:dyDescent="0.35">
      <c r="B201" s="110">
        <f ca="1">ROUND([1]!onepair_A($C$200),-2)</f>
        <v>-800</v>
      </c>
      <c r="C201" s="82" t="str">
        <f ca="1">[1]!onepair_A2($C$200)</f>
        <v>source</v>
      </c>
      <c r="D201" s="77"/>
    </row>
    <row r="202" spans="1:6" x14ac:dyDescent="0.35">
      <c r="B202" s="110">
        <f ca="1">ROUND([1]!onepair_B($C$200),-2)</f>
        <v>-1100</v>
      </c>
      <c r="C202" s="82" t="str">
        <f ca="1">[1]!onepair_B2($C$200)</f>
        <v>use</v>
      </c>
      <c r="D202" s="77"/>
    </row>
    <row r="203" spans="1:6" x14ac:dyDescent="0.35">
      <c r="B203" s="110">
        <f ca="1">ROUND([1]!onepair_C($C$200),-2)</f>
        <v>-1100</v>
      </c>
      <c r="C203" s="82" t="str">
        <f ca="1">[1]!onepair_C2($C$200)</f>
        <v>source</v>
      </c>
      <c r="D203" s="77"/>
    </row>
    <row r="204" spans="1:6" x14ac:dyDescent="0.35">
      <c r="B204" s="110">
        <f ca="1">ROUND([1]!onepair_D($C$200),-2)</f>
        <v>-1000</v>
      </c>
      <c r="C204" s="82" t="str">
        <f ca="1">[1]!onepair_D2($C$200)</f>
        <v>source</v>
      </c>
      <c r="D204" s="77"/>
    </row>
    <row r="205" spans="1:6" ht="16" thickBot="1" x14ac:dyDescent="0.4">
      <c r="B205" s="111">
        <f ca="1">ROUND([1]!onepair_E($C$200),-2)</f>
        <v>-1000</v>
      </c>
      <c r="C205" s="84" t="str">
        <f ca="1">[1]!onepair_E2($C$200)</f>
        <v>use</v>
      </c>
      <c r="D205" s="78"/>
    </row>
    <row r="206" spans="1:6" ht="16" thickTop="1" x14ac:dyDescent="0.35"/>
    <row r="208" spans="1:6" x14ac:dyDescent="0.35">
      <c r="A208" s="88" t="s">
        <v>1894</v>
      </c>
    </row>
    <row r="209" spans="1:6" x14ac:dyDescent="0.35">
      <c r="A209" s="4" t="str">
        <f>IF(F213=0,"Current Assets","Current Liabilities")</f>
        <v>Current Liabilities</v>
      </c>
      <c r="B209" s="2" t="s">
        <v>3172</v>
      </c>
      <c r="E209" s="22" t="s">
        <v>3175</v>
      </c>
    </row>
    <row r="210" spans="1:6" x14ac:dyDescent="0.35">
      <c r="A210" s="20">
        <f ca="1">RANDBETWEEN(40,80)*100</f>
        <v>5700</v>
      </c>
      <c r="B210" s="2" t="s">
        <v>3173</v>
      </c>
      <c r="E210" s="10">
        <f ca="1">A211-A210</f>
        <v>1800</v>
      </c>
      <c r="F210" s="2" t="str">
        <f ca="1">IF(F213=0,IF(E210&lt;0,"source","use"),IF(E210&gt;0,"source","use"))</f>
        <v>source</v>
      </c>
    </row>
    <row r="211" spans="1:6" x14ac:dyDescent="0.35">
      <c r="A211" s="20">
        <f ca="1">RANDBETWEEN(40,80)*100</f>
        <v>7500</v>
      </c>
      <c r="B211" s="2" t="s">
        <v>3174</v>
      </c>
      <c r="E211" s="8">
        <f ca="1">ABS(E210)</f>
        <v>1800</v>
      </c>
    </row>
    <row r="212" spans="1:6" x14ac:dyDescent="0.35">
      <c r="E212" s="22" t="s">
        <v>2516</v>
      </c>
      <c r="F212" s="2" t="str">
        <f ca="1">IF(F210="source","use","source")</f>
        <v>use</v>
      </c>
    </row>
    <row r="213" spans="1:6" ht="16" thickBot="1" x14ac:dyDescent="0.4">
      <c r="E213" s="10"/>
      <c r="F213" s="2">
        <f>1</f>
        <v>1</v>
      </c>
    </row>
    <row r="214" spans="1:6" ht="16.5" thickTop="1" thickBot="1" x14ac:dyDescent="0.4">
      <c r="B214" s="76" t="str">
        <f ca="1">[1]!alpha_ans($C$214)</f>
        <v>B</v>
      </c>
      <c r="C214" s="79" t="str">
        <f ca="1" xml:space="preserve"> "/\" &amp;RANDBETWEEN( 1,5) &amp; "/\" &amp;RANDBETWEEN( 1,120) &amp; "/\" &amp;RANDBETWEEN( 1,6) &amp; "/\" &amp;RANDBETWEEN( 1,2) &amp; "/\" &amp; E211 &amp; "/\" &amp; "Mask" &amp; "/\" &amp; "Mask" &amp; "/\" &amp; F210 &amp; "/\" &amp; F212</f>
        <v>/\2/\58/\1/\1/\1800/\Mask/\Mask/\source/\use</v>
      </c>
      <c r="D214" s="80" t="s">
        <v>1895</v>
      </c>
      <c r="E214" s="10"/>
    </row>
    <row r="215" spans="1:6" ht="16" thickTop="1" x14ac:dyDescent="0.35">
      <c r="B215" s="110">
        <f ca="1">[1]!onepair_A($C$214)</f>
        <v>2070</v>
      </c>
      <c r="C215" s="82" t="str">
        <f ca="1">[1]!onepair_A2($C$214)</f>
        <v>use</v>
      </c>
      <c r="D215" s="77"/>
    </row>
    <row r="216" spans="1:6" x14ac:dyDescent="0.35">
      <c r="B216" s="110">
        <f ca="1">[1]!onepair_B($C$214)</f>
        <v>1800</v>
      </c>
      <c r="C216" s="82" t="str">
        <f ca="1">[1]!onepair_B2($C$214)</f>
        <v>source</v>
      </c>
      <c r="D216" s="77"/>
    </row>
    <row r="217" spans="1:6" x14ac:dyDescent="0.35">
      <c r="B217" s="110">
        <f ca="1">[1]!onepair_C($C$214)</f>
        <v>2380.5</v>
      </c>
      <c r="C217" s="82" t="str">
        <f ca="1">[1]!onepair_C2($C$214)</f>
        <v>source</v>
      </c>
      <c r="D217" s="77"/>
    </row>
    <row r="218" spans="1:6" x14ac:dyDescent="0.35">
      <c r="B218" s="110">
        <f ca="1">[1]!onepair_D($C$214)</f>
        <v>2380.5</v>
      </c>
      <c r="C218" s="82" t="str">
        <f ca="1">[1]!onepair_D2($C$214)</f>
        <v>use</v>
      </c>
      <c r="D218" s="77"/>
    </row>
    <row r="219" spans="1:6" ht="16" thickBot="1" x14ac:dyDescent="0.4">
      <c r="B219" s="111">
        <f ca="1">[1]!onepair_E($C$214)</f>
        <v>1800</v>
      </c>
      <c r="C219" s="84" t="str">
        <f ca="1">[1]!onepair_E2($C$214)</f>
        <v>use</v>
      </c>
      <c r="D219" s="78"/>
    </row>
    <row r="220" spans="1:6" ht="16" thickTop="1" x14ac:dyDescent="0.35"/>
    <row r="222" spans="1:6" x14ac:dyDescent="0.35">
      <c r="A222" s="88" t="s">
        <v>1896</v>
      </c>
    </row>
    <row r="223" spans="1:6" x14ac:dyDescent="0.35">
      <c r="A223" s="20">
        <f ca="1">RANDBETWEEN(20,90)</f>
        <v>35</v>
      </c>
      <c r="B223" s="2" t="s">
        <v>2072</v>
      </c>
      <c r="E223" s="2">
        <f ca="1">RANDBETWEEN(100,700)/10</f>
        <v>46.7</v>
      </c>
      <c r="F223" s="2" t="s">
        <v>3699</v>
      </c>
    </row>
    <row r="224" spans="1:6" x14ac:dyDescent="0.35">
      <c r="A224" s="4">
        <f ca="1">ROUND(A223/RANDBETWEEN(1,3),-1)</f>
        <v>10</v>
      </c>
      <c r="B224" s="2" t="s">
        <v>2333</v>
      </c>
    </row>
    <row r="225" spans="1:4" x14ac:dyDescent="0.35">
      <c r="A225" s="181">
        <f ca="1">A223*E223/A224</f>
        <v>163.44999999999999</v>
      </c>
      <c r="B225" s="2" t="s">
        <v>2797</v>
      </c>
    </row>
    <row r="226" spans="1:4" ht="16" thickBot="1" x14ac:dyDescent="0.4"/>
    <row r="227" spans="1:4" ht="16.5" thickTop="1" thickBot="1" x14ac:dyDescent="0.4">
      <c r="B227" s="76" t="str">
        <f ca="1">[1]!std_ans($C$227)</f>
        <v>D</v>
      </c>
      <c r="C227" s="79" t="str">
        <f ca="1" xml:space="preserve"> "/\" &amp;RANDBETWEEN( 1,120) &amp; "/\" &amp;RANDBETWEEN( 1,120) &amp; "/\" &amp;0.1 &amp; "/\" &amp; E223</f>
        <v>/\35/\9/\0.1/\46.7</v>
      </c>
      <c r="D227" s="80" t="s">
        <v>1570</v>
      </c>
    </row>
    <row r="228" spans="1:4" ht="16" thickTop="1" x14ac:dyDescent="0.35">
      <c r="B228" s="139">
        <f ca="1">[1]!stdnum_A($C$227)</f>
        <v>56.507000000000012</v>
      </c>
      <c r="C228" s="82"/>
      <c r="D228" s="77"/>
    </row>
    <row r="229" spans="1:4" x14ac:dyDescent="0.35">
      <c r="B229" s="139">
        <f ca="1">[1]!stdnum_B($C$227)</f>
        <v>62.15770000000002</v>
      </c>
      <c r="C229" s="82"/>
      <c r="D229" s="77"/>
    </row>
    <row r="230" spans="1:4" x14ac:dyDescent="0.35">
      <c r="B230" s="139">
        <f ca="1">[1]!stdnum_C($C$227)</f>
        <v>68.373470000000026</v>
      </c>
      <c r="C230" s="82"/>
      <c r="D230" s="77"/>
    </row>
    <row r="231" spans="1:4" x14ac:dyDescent="0.35">
      <c r="B231" s="139">
        <f ca="1">[1]!stdnum_D($C$227)</f>
        <v>46.7</v>
      </c>
      <c r="C231" s="82"/>
      <c r="D231" s="77"/>
    </row>
    <row r="232" spans="1:4" ht="16" thickBot="1" x14ac:dyDescent="0.4">
      <c r="B232" s="140">
        <f ca="1">[1]!stdnum_E($C$227)</f>
        <v>51.370000000000005</v>
      </c>
      <c r="C232" s="84"/>
      <c r="D232" s="78"/>
    </row>
    <row r="233" spans="1:4" ht="16" thickTop="1" x14ac:dyDescent="0.35"/>
    <row r="235" spans="1:4" x14ac:dyDescent="0.35">
      <c r="A235" s="120" t="s">
        <v>1572</v>
      </c>
    </row>
    <row r="236" spans="1:4" x14ac:dyDescent="0.35">
      <c r="B236" s="22" t="s">
        <v>2358</v>
      </c>
    </row>
    <row r="237" spans="1:4" x14ac:dyDescent="0.35">
      <c r="A237" s="8">
        <f ca="1">ROUND(A238*RANDBETWEEN(30,50)/100,-2)</f>
        <v>2900</v>
      </c>
      <c r="B237" s="2" t="s">
        <v>729</v>
      </c>
      <c r="C237" s="8">
        <f ca="1">C239-C238</f>
        <v>4600</v>
      </c>
      <c r="D237" s="2" t="s">
        <v>2876</v>
      </c>
    </row>
    <row r="238" spans="1:4" x14ac:dyDescent="0.35">
      <c r="A238" s="99">
        <f ca="1">RANDBETWEEN(80,95)*100</f>
        <v>9500</v>
      </c>
      <c r="B238" s="11" t="s">
        <v>2575</v>
      </c>
      <c r="C238" s="99">
        <f ca="1">ROUND(A239*RANDBETWEEN(50,80)/100,-2)</f>
        <v>7800</v>
      </c>
      <c r="D238" s="11" t="s">
        <v>3390</v>
      </c>
    </row>
    <row r="239" spans="1:4" x14ac:dyDescent="0.35">
      <c r="A239" s="8">
        <f ca="1">A237+A238</f>
        <v>12400</v>
      </c>
      <c r="B239" s="2" t="s">
        <v>2439</v>
      </c>
      <c r="C239" s="8">
        <f ca="1">A239</f>
        <v>12400</v>
      </c>
    </row>
    <row r="241" spans="1:23" x14ac:dyDescent="0.35">
      <c r="B241" s="22" t="s">
        <v>2198</v>
      </c>
    </row>
    <row r="242" spans="1:23" x14ac:dyDescent="0.35">
      <c r="A242" s="8">
        <f ca="1">ROUND(A243*RANDBETWEEN(30,50)/100,-2)</f>
        <v>2100</v>
      </c>
      <c r="B242" s="2" t="s">
        <v>729</v>
      </c>
      <c r="C242" s="8">
        <f ca="1">C244-C243</f>
        <v>1900</v>
      </c>
      <c r="D242" s="2" t="s">
        <v>2876</v>
      </c>
      <c r="T242" s="2" t="s">
        <v>359</v>
      </c>
    </row>
    <row r="243" spans="1:23" x14ac:dyDescent="0.35">
      <c r="A243" s="99">
        <f ca="1">RANDBETWEEN(30,65)*100</f>
        <v>5800</v>
      </c>
      <c r="B243" s="11" t="s">
        <v>2575</v>
      </c>
      <c r="C243" s="99">
        <f ca="1">ROUND(A244*RANDBETWEEN(50,80)/100,-2)</f>
        <v>6000</v>
      </c>
      <c r="D243" s="11" t="s">
        <v>3390</v>
      </c>
      <c r="O243" s="2">
        <f ca="1">(RANDBETWEEN(0,1))</f>
        <v>1</v>
      </c>
      <c r="R243" s="27">
        <f ca="1">I254</f>
        <v>1.4928485885372114</v>
      </c>
      <c r="S243" s="27" t="str">
        <f ca="1">IF(ABS(I257-I254)&gt;0.04,I257,"#RECALCULATE")</f>
        <v>#RECALCULATE</v>
      </c>
      <c r="T243" s="2">
        <f ca="1">IF(O243=0,S243,(IF(RANDBETWEEN(0,1)=0,1/1.2,1.2))*R243)</f>
        <v>1.2440404904476763</v>
      </c>
      <c r="U243" s="2" t="e">
        <f ca="1">IF(O243=0,R243,(IF(RANDBETWEEN(0,1)=0,1/1.2,1.2))*S243)</f>
        <v>#VALUE!</v>
      </c>
    </row>
    <row r="244" spans="1:23" x14ac:dyDescent="0.35">
      <c r="A244" s="8">
        <f ca="1">A242+A243</f>
        <v>7900</v>
      </c>
      <c r="B244" s="2" t="s">
        <v>2439</v>
      </c>
      <c r="C244" s="8">
        <f ca="1">A244</f>
        <v>7900</v>
      </c>
      <c r="R244" s="2" t="str">
        <f ca="1">IF(O243=0, " increases ", " decreases ")</f>
        <v xml:space="preserve"> decreases </v>
      </c>
      <c r="T244" s="2" t="str">
        <f ca="1">IF(O243=1,S243,IF((IF(RANDBETWEEN(0,1)=0,1/1.2,1.2))*R243&lt;0.03,S243+(IF(RANDBETWEEN(0,1)=0,1,-1))*0.03,(IF(RANDBETWEEN(0,1)=0,1/1.2,1.2))*R243))</f>
        <v>#RECALCULATE</v>
      </c>
      <c r="U244" s="2">
        <f ca="1">IF(O243=1,R243,IF((IF(RANDBETWEEN(0,1)=0,1/1.2,1.2))*S243&lt;0.03,R243+(IF(RANDBETWEEN(0,1)=0,1,-1))*0.03,(IF(RANDBETWEEN(0,1)=0,1/1.2,1.2))*S243))</f>
        <v>1.4928485885372114</v>
      </c>
      <c r="V244" s="133"/>
      <c r="W244" s="187"/>
    </row>
    <row r="245" spans="1:23" x14ac:dyDescent="0.35">
      <c r="U245" s="17"/>
      <c r="V245" s="17"/>
      <c r="W245" s="17"/>
    </row>
    <row r="246" spans="1:23" x14ac:dyDescent="0.35">
      <c r="A246" s="407" t="s">
        <v>417</v>
      </c>
      <c r="B246" s="407"/>
      <c r="C246" s="407"/>
      <c r="E246" s="22" t="s">
        <v>471</v>
      </c>
      <c r="I246" s="407" t="s">
        <v>2357</v>
      </c>
      <c r="J246" s="407"/>
      <c r="K246" s="407"/>
      <c r="L246" s="407"/>
      <c r="M246" s="407"/>
      <c r="N246" s="407"/>
      <c r="Q246" s="2" t="s">
        <v>913</v>
      </c>
      <c r="U246" s="17"/>
      <c r="V246" s="17"/>
      <c r="W246" s="133"/>
    </row>
    <row r="247" spans="1:23" x14ac:dyDescent="0.35">
      <c r="A247" s="114">
        <f ca="1">RANDBETWEEN(30,65)/10</f>
        <v>3.8</v>
      </c>
      <c r="B247" s="2" t="s">
        <v>3379</v>
      </c>
      <c r="E247" s="114">
        <f ca="1">RANDBETWEEN(5,18)/10</f>
        <v>0.7</v>
      </c>
      <c r="F247" s="2" t="s">
        <v>3379</v>
      </c>
      <c r="I247" s="182">
        <f ca="1">M255/N255</f>
        <v>21</v>
      </c>
      <c r="J247" s="2" t="s">
        <v>966</v>
      </c>
      <c r="M247" s="27">
        <f ca="1">(C238+C243)/I249</f>
        <v>13.77245508982036</v>
      </c>
      <c r="N247" s="2" t="s">
        <v>416</v>
      </c>
      <c r="Q247" s="2" t="s">
        <v>30</v>
      </c>
      <c r="R247" s="2" t="str">
        <f ca="1">"Target shareholder wealth increase by $" &amp; ROUND(R243,2) &amp; " per share tendered"</f>
        <v>Target shareholder wealth increase by $1.49 per share tendered</v>
      </c>
      <c r="U247" s="189"/>
      <c r="V247" s="212"/>
      <c r="W247" s="213"/>
    </row>
    <row r="248" spans="1:23" x14ac:dyDescent="0.35">
      <c r="A248" s="35">
        <f ca="1">RANDBETWEEN(280,500)/10</f>
        <v>31.4</v>
      </c>
      <c r="B248" s="2" t="s">
        <v>3381</v>
      </c>
      <c r="E248" s="35">
        <f ca="1">RANDBETWEEN(90,200)/10</f>
        <v>17.899999999999999</v>
      </c>
      <c r="F248" s="2" t="s">
        <v>3381</v>
      </c>
      <c r="I248" s="182">
        <f ca="1">M256/N255</f>
        <v>4</v>
      </c>
      <c r="J248" s="2" t="s">
        <v>1500</v>
      </c>
      <c r="M248" s="183">
        <f ca="1">I251/M247</f>
        <v>2.4521739130434783</v>
      </c>
      <c r="N248" s="2" t="s">
        <v>3379</v>
      </c>
      <c r="Q248" s="2" t="s">
        <v>1105</v>
      </c>
      <c r="R248" s="2" t="str">
        <f ca="1">"Target shareholder wealth" &amp; R244 &amp; "by $" &amp; ROUND(T243,2) &amp; " per share tendered"</f>
        <v>Target shareholder wealth decreases by $1.24 per share tendered</v>
      </c>
      <c r="U248" s="189"/>
      <c r="V248" s="212"/>
      <c r="W248" s="213"/>
    </row>
    <row r="249" spans="1:23" x14ac:dyDescent="0.35">
      <c r="A249" s="182">
        <f ca="1">RANDBETWEEN(60,90)*10</f>
        <v>840</v>
      </c>
      <c r="B249" s="2" t="s">
        <v>2673</v>
      </c>
      <c r="E249" s="182">
        <f ca="1">RANDBETWEEN(60,90)*10</f>
        <v>850</v>
      </c>
      <c r="F249" s="2" t="s">
        <v>2673</v>
      </c>
      <c r="I249" s="182">
        <f ca="1">ROUND(A249+E249*I248/I247,0)</f>
        <v>1002</v>
      </c>
      <c r="J249" s="2" t="s">
        <v>2558</v>
      </c>
      <c r="M249" s="184">
        <f ca="1">I250/(E253+A253)</f>
        <v>28.712374327482202</v>
      </c>
      <c r="N249" s="2" t="s">
        <v>3381</v>
      </c>
      <c r="Q249" s="2" t="s">
        <v>1573</v>
      </c>
      <c r="R249" s="2" t="e">
        <f ca="1">"Raider shareholder wealth decreases by $"&amp; ROUND(S243,2) &amp; " per share outstanding"</f>
        <v>#VALUE!</v>
      </c>
      <c r="U249" s="189"/>
      <c r="V249" s="212"/>
      <c r="W249" s="213"/>
    </row>
    <row r="250" spans="1:23" x14ac:dyDescent="0.35">
      <c r="A250" s="13">
        <f ca="1">ROUND(C238/A249,2)</f>
        <v>9.2899999999999991</v>
      </c>
      <c r="B250" s="2" t="s">
        <v>416</v>
      </c>
      <c r="E250" s="13">
        <f ca="1">C243/E249</f>
        <v>7.0588235294117645</v>
      </c>
      <c r="F250" s="2" t="s">
        <v>416</v>
      </c>
      <c r="I250" s="10">
        <f ca="1">E252+A252</f>
        <v>33840</v>
      </c>
      <c r="J250" s="2" t="s">
        <v>3380</v>
      </c>
      <c r="M250" s="13">
        <f ca="1">(E253+A253)/I249</f>
        <v>1.1762334491959752</v>
      </c>
      <c r="N250" s="2" t="s">
        <v>3183</v>
      </c>
      <c r="Q250" s="2" t="s">
        <v>1607</v>
      </c>
      <c r="R250" s="2" t="e">
        <f ca="1">"Raider shareholder wealth" &amp;R244&amp; " by $" &amp; ROUND(U243,2) &amp; " per share outstanding"</f>
        <v>#VALUE!</v>
      </c>
      <c r="U250" s="189"/>
      <c r="V250" s="212"/>
      <c r="W250" s="213"/>
    </row>
    <row r="251" spans="1:23" x14ac:dyDescent="0.35">
      <c r="A251" s="13">
        <f ca="1">ROUND(A250*A247,2)</f>
        <v>35.299999999999997</v>
      </c>
      <c r="B251" s="2" t="s">
        <v>2582</v>
      </c>
      <c r="E251" s="13">
        <f ca="1">ROUND(E250*E247,2)</f>
        <v>4.9400000000000004</v>
      </c>
      <c r="F251" s="2" t="s">
        <v>2582</v>
      </c>
      <c r="I251" s="27">
        <f ca="1">I250/I249</f>
        <v>33.772455089820362</v>
      </c>
      <c r="J251" s="2" t="s">
        <v>2582</v>
      </c>
      <c r="M251" s="10">
        <f ca="1">E253+A253</f>
        <v>1178.5859160943671</v>
      </c>
      <c r="N251" s="2" t="s">
        <v>374</v>
      </c>
      <c r="Q251" s="2" t="s">
        <v>2352</v>
      </c>
      <c r="R251" s="2" t="str">
        <f ca="1">"Target shareholder wealth increase by $" &amp; ROUND(R243,2) &amp; " per share tendered"</f>
        <v>Target shareholder wealth increase by $1.49 per share tendered</v>
      </c>
      <c r="U251" s="189"/>
      <c r="V251" s="17"/>
      <c r="W251" s="142"/>
    </row>
    <row r="252" spans="1:23" x14ac:dyDescent="0.35">
      <c r="A252" s="10">
        <f ca="1">C238*A247</f>
        <v>29640</v>
      </c>
      <c r="B252" s="2" t="s">
        <v>3380</v>
      </c>
      <c r="E252" s="10">
        <f ca="1">C243*E247</f>
        <v>4200</v>
      </c>
      <c r="F252" s="2" t="s">
        <v>3380</v>
      </c>
      <c r="I252" s="27">
        <f ca="1">I247*E251</f>
        <v>103.74000000000001</v>
      </c>
      <c r="J252" s="2" t="s">
        <v>1699</v>
      </c>
      <c r="M252" s="309">
        <f ca="1">I248/I247</f>
        <v>0.19047619047619047</v>
      </c>
      <c r="N252" s="2" t="s">
        <v>866</v>
      </c>
      <c r="Q252" s="2" t="s">
        <v>3406</v>
      </c>
      <c r="R252" s="2" t="e">
        <f ca="1">"Target shareholder wealth" &amp; R244 &amp; "by $" &amp; ROUND(T244,2) &amp; " per share tendered"</f>
        <v>#VALUE!</v>
      </c>
    </row>
    <row r="253" spans="1:23" x14ac:dyDescent="0.35">
      <c r="A253" s="10">
        <f ca="1">A252/A248</f>
        <v>943.94904458598728</v>
      </c>
      <c r="B253" s="2" t="s">
        <v>2072</v>
      </c>
      <c r="E253" s="10">
        <f ca="1">E252/E248</f>
        <v>234.6368715083799</v>
      </c>
      <c r="F253" s="2" t="s">
        <v>2072</v>
      </c>
      <c r="I253" s="27">
        <f ca="1">I248*I251</f>
        <v>135.08982035928145</v>
      </c>
      <c r="J253" s="2" t="s">
        <v>1700</v>
      </c>
      <c r="Q253" s="2" t="s">
        <v>3408</v>
      </c>
      <c r="R253" s="2" t="e">
        <f ca="1">"Raider shareholder wealth decreases by $"&amp; ROUND(S243,2) &amp; " per share outstanding"</f>
        <v>#VALUE!</v>
      </c>
    </row>
    <row r="254" spans="1:23" x14ac:dyDescent="0.35">
      <c r="A254" s="13">
        <f ca="1">A253/A249</f>
        <v>1.1237488626023657</v>
      </c>
      <c r="B254" s="2" t="s">
        <v>3183</v>
      </c>
      <c r="E254" s="13">
        <f ca="1">E253/E249</f>
        <v>0.27604337824515279</v>
      </c>
      <c r="F254" s="2" t="s">
        <v>3183</v>
      </c>
      <c r="I254" s="27">
        <f ca="1">(I253-I252)/I247</f>
        <v>1.4928485885372114</v>
      </c>
      <c r="J254" s="2" t="s">
        <v>1461</v>
      </c>
      <c r="N254" s="22" t="s">
        <v>1316</v>
      </c>
      <c r="Q254" s="2" t="s">
        <v>3410</v>
      </c>
      <c r="R254" s="2" t="str">
        <f ca="1">"Raider shareholder wealth" &amp;R244&amp; " by $" &amp; ROUND(U244,2) &amp; " per share outstanding"</f>
        <v>Raider shareholder wealth decreases  by $1.49 per share outstanding</v>
      </c>
    </row>
    <row r="255" spans="1:23" x14ac:dyDescent="0.35">
      <c r="A255" s="27"/>
      <c r="I255" s="32">
        <f ca="1">IF(ABS(I254/E251)&lt;0.19,"#RECALCULATE",I254/E251)</f>
        <v>0.30219607055409137</v>
      </c>
      <c r="J255" s="2" t="s">
        <v>1571</v>
      </c>
      <c r="M255" s="2">
        <f ca="1">TRUNC(M256*A251/(RANDBETWEEN(120,150)*E251/100))</f>
        <v>21</v>
      </c>
      <c r="N255" s="2">
        <f ca="1">GCD(M255,M256)</f>
        <v>1</v>
      </c>
      <c r="Q255" s="2" t="s">
        <v>2605</v>
      </c>
      <c r="R255" s="2" t="str">
        <f ca="1">"Even though the total market capitalization doesn’t change, $" &amp; ROUND(I256,0) &amp; "  is transferred from raider to target shareholders"</f>
        <v>Even though the total market capitalization doesn’t change, $1269  is transferred from raider to target shareholders</v>
      </c>
    </row>
    <row r="256" spans="1:23" x14ac:dyDescent="0.35">
      <c r="I256" s="8">
        <f ca="1">I254*E249</f>
        <v>1268.9213002566296</v>
      </c>
      <c r="J256" s="2" t="s">
        <v>1140</v>
      </c>
      <c r="M256" s="2">
        <f ca="1">RANDBETWEEN(2,5)</f>
        <v>4</v>
      </c>
      <c r="Q256" s="2" t="s">
        <v>2606</v>
      </c>
      <c r="R256" s="2" t="str">
        <f ca="1">"Even though the total market capitalization doesn’t change, $" &amp; ROUND((IF(RANDBETWEEN(0,1)=0,1/1.2,1.2))*I256,0) &amp; " is transferred from raider to target shareholders"</f>
        <v>Even though the total market capitalization doesn’t change, $1523 is transferred from raider to target shareholders</v>
      </c>
    </row>
    <row r="257" spans="2:20" x14ac:dyDescent="0.35">
      <c r="I257" s="27">
        <f ca="1">I256/A249</f>
        <v>1.5106205955436067</v>
      </c>
      <c r="J257" s="2" t="s">
        <v>2784</v>
      </c>
    </row>
    <row r="259" spans="2:20" ht="16" thickBot="1" x14ac:dyDescent="0.4">
      <c r="B259" s="88" t="s">
        <v>1290</v>
      </c>
      <c r="F259" s="88" t="s">
        <v>1292</v>
      </c>
      <c r="J259" s="120" t="s">
        <v>1125</v>
      </c>
      <c r="N259" s="120" t="s">
        <v>1127</v>
      </c>
    </row>
    <row r="260" spans="2:20" ht="16.5" thickTop="1" thickBot="1" x14ac:dyDescent="0.4">
      <c r="B260" s="76" t="str">
        <f ca="1">[1]!std_ans($C$260)</f>
        <v>A</v>
      </c>
      <c r="C260" s="79" t="str">
        <f ca="1" xml:space="preserve"> "/\" &amp;RANDBETWEEN( 1,120) &amp; "/\" &amp;RANDBETWEEN( 1,120) &amp; "/\" &amp;0.1 &amp; "/\" &amp; M248</f>
        <v>/\15/\74/\0.1/\2.45217391304348</v>
      </c>
      <c r="D260" s="80" t="s">
        <v>1291</v>
      </c>
      <c r="F260" s="76" t="str">
        <f ca="1">[1]!std_ans($G$260)</f>
        <v>E</v>
      </c>
      <c r="G260" s="79" t="str">
        <f ca="1" xml:space="preserve"> "/\" &amp;RANDBETWEEN( 1,120) &amp; "/\" &amp;RANDBETWEEN( 1,120) &amp; "/\" &amp;0.1 &amp; "/\" &amp; M249</f>
        <v>/\60/\38/\0.1/\28.7123743274822</v>
      </c>
      <c r="H260" s="80" t="s">
        <v>1124</v>
      </c>
      <c r="J260" s="76" t="str">
        <f ca="1">[1]!std_ans($K$260)</f>
        <v>B</v>
      </c>
      <c r="K260" s="79" t="str">
        <f ca="1" xml:space="preserve"> "/\" &amp;RANDBETWEEN( 1,120) &amp; "/\" &amp;RANDBETWEEN( 1,120) &amp; "/\" &amp;0.1 &amp; "/\" &amp; I251</f>
        <v>/\27/\20/\0.1/\33.7724550898204</v>
      </c>
      <c r="L260" s="80" t="s">
        <v>1126</v>
      </c>
      <c r="N260" s="76" t="str">
        <f ca="1">[1]!std_ans($O$260)</f>
        <v>C</v>
      </c>
      <c r="O260" s="79" t="str">
        <f ca="1" xml:space="preserve"> "/\" &amp;RANDBETWEEN( 1,120) &amp; "/\" &amp;RANDBETWEEN( 1,120) &amp; "/\" &amp;0.1 &amp; "/\" &amp; M250</f>
        <v>/\85/\109/\0.1/\1.17623344919598</v>
      </c>
      <c r="P260" s="80" t="s">
        <v>1128</v>
      </c>
    </row>
    <row r="261" spans="2:20" ht="16" thickTop="1" x14ac:dyDescent="0.35">
      <c r="B261" s="196">
        <f ca="1">[1]!stdnum_A($C$260)</f>
        <v>2.4521739130434801</v>
      </c>
      <c r="C261" s="82"/>
      <c r="D261" s="77"/>
      <c r="F261" s="139">
        <f ca="1">[1]!stdnum_A($G$260)</f>
        <v>26.102158479529269</v>
      </c>
      <c r="G261" s="82"/>
      <c r="H261" s="77"/>
      <c r="J261" s="129">
        <f ca="1">[1]!stdnum_A($K$260)</f>
        <v>49.44625149700606</v>
      </c>
      <c r="K261" s="82"/>
      <c r="L261" s="77"/>
      <c r="N261" s="129">
        <f ca="1">[1]!stdnum_A($O$260)</f>
        <v>0.88372159969645359</v>
      </c>
      <c r="O261" s="82"/>
      <c r="P261" s="77"/>
    </row>
    <row r="262" spans="2:20" s="17" customFormat="1" ht="17.25" customHeight="1" x14ac:dyDescent="0.35">
      <c r="B262" s="196">
        <f ca="1">[1]!stdnum_B($C$260)</f>
        <v>2.6973913043478284</v>
      </c>
      <c r="C262" s="82"/>
      <c r="D262" s="193"/>
      <c r="F262" s="139">
        <f ca="1">[1]!stdnum_B($G$260)</f>
        <v>34.741972936253468</v>
      </c>
      <c r="G262" s="82"/>
      <c r="H262" s="198"/>
      <c r="J262" s="129">
        <f ca="1">[1]!stdnum_B($K$260)</f>
        <v>33.772455089820397</v>
      </c>
      <c r="K262" s="82"/>
      <c r="L262" s="199"/>
      <c r="N262" s="129">
        <f ca="1">[1]!stdnum_B($O$260)</f>
        <v>0.80338327245132146</v>
      </c>
      <c r="O262" s="82"/>
      <c r="P262" s="200"/>
    </row>
    <row r="263" spans="2:20" s="17" customFormat="1" x14ac:dyDescent="0.35">
      <c r="B263" s="196">
        <f ca="1">[1]!stdnum_C($C$260)</f>
        <v>2.0265900107797354</v>
      </c>
      <c r="C263" s="126"/>
      <c r="D263" s="194"/>
      <c r="F263" s="139">
        <f ca="1">[1]!stdnum_C($G$260)</f>
        <v>31.583611760230422</v>
      </c>
      <c r="G263" s="126"/>
      <c r="H263" s="194"/>
      <c r="J263" s="129">
        <f ca="1">[1]!stdnum_C($K$260)</f>
        <v>44.951137724550961</v>
      </c>
      <c r="K263" s="126"/>
      <c r="L263" s="194"/>
      <c r="N263" s="129">
        <f ca="1">[1]!stdnum_C($O$260)</f>
        <v>1.1762334491959801</v>
      </c>
      <c r="O263" s="126"/>
      <c r="P263" s="194"/>
    </row>
    <row r="264" spans="2:20" s="17" customFormat="1" x14ac:dyDescent="0.35">
      <c r="B264" s="196">
        <f ca="1">[1]!stdnum_D($C$260)</f>
        <v>1.8423545552543046</v>
      </c>
      <c r="C264" s="82"/>
      <c r="D264" s="169"/>
      <c r="F264" s="139">
        <f ca="1">[1]!stdnum_D($G$260)</f>
        <v>38.21617022987882</v>
      </c>
      <c r="G264" s="82"/>
      <c r="H264" s="169"/>
      <c r="J264" s="129">
        <f ca="1">[1]!stdnum_D($K$260)</f>
        <v>37.14970059880244</v>
      </c>
      <c r="K264" s="82"/>
      <c r="L264" s="169"/>
      <c r="N264" s="129">
        <f ca="1">[1]!stdnum_D($O$260)</f>
        <v>0.97209375966609912</v>
      </c>
      <c r="O264" s="82"/>
      <c r="P264" s="169"/>
    </row>
    <row r="265" spans="2:20" s="17" customFormat="1" ht="16" thickBot="1" x14ac:dyDescent="0.4">
      <c r="B265" s="197">
        <f ca="1">[1]!stdnum_E($C$260)</f>
        <v>2.2292490118577093</v>
      </c>
      <c r="C265" s="170"/>
      <c r="D265" s="78"/>
      <c r="F265" s="195">
        <f ca="1">[1]!stdnum_E($G$260)</f>
        <v>28.712374327482198</v>
      </c>
      <c r="G265" s="170"/>
      <c r="H265" s="78"/>
      <c r="J265" s="130">
        <f ca="1">[1]!stdnum_E($K$260)</f>
        <v>40.864670658682684</v>
      </c>
      <c r="K265" s="170"/>
      <c r="L265" s="78"/>
      <c r="N265" s="130">
        <f ca="1">[1]!stdnum_E($O$260)</f>
        <v>1.0693031356327092</v>
      </c>
      <c r="O265" s="202"/>
      <c r="P265" s="78"/>
    </row>
    <row r="266" spans="2:20" s="17" customFormat="1" ht="16" thickTop="1" x14ac:dyDescent="0.35">
      <c r="B266" s="185"/>
      <c r="C266" s="185"/>
      <c r="F266" s="186"/>
      <c r="G266" s="186"/>
      <c r="J266" s="187"/>
      <c r="K266" s="187"/>
      <c r="N266" s="190"/>
      <c r="O266" s="190"/>
    </row>
    <row r="267" spans="2:20" s="17" customFormat="1" ht="16" thickBot="1" x14ac:dyDescent="0.4">
      <c r="B267" s="88" t="s">
        <v>1205</v>
      </c>
      <c r="C267" s="185"/>
      <c r="F267" s="120" t="s">
        <v>1207</v>
      </c>
      <c r="G267" s="186"/>
      <c r="J267" s="120" t="s">
        <v>911</v>
      </c>
      <c r="K267" s="187"/>
      <c r="N267" s="88" t="s">
        <v>914</v>
      </c>
      <c r="O267" s="190"/>
    </row>
    <row r="268" spans="2:20" s="17" customFormat="1" ht="16.5" thickTop="1" thickBot="1" x14ac:dyDescent="0.4">
      <c r="B268" s="204" t="str">
        <f ca="1">[1]!std_ans($C$268)</f>
        <v>D</v>
      </c>
      <c r="C268" s="205" t="str">
        <f ca="1" xml:space="preserve"> "/\" &amp;RANDBETWEEN( 1,120) &amp; "/\" &amp;RANDBETWEEN( 1,120) &amp; "/\" &amp;0.1 &amp; "/\" &amp; I254</f>
        <v>/\95/\91/\0.1/\1.49284858853721</v>
      </c>
      <c r="D268" s="80" t="s">
        <v>1206</v>
      </c>
      <c r="F268" s="208" t="str">
        <f ca="1">[1]!std_ans($G$268)</f>
        <v>D</v>
      </c>
      <c r="G268" s="209" t="str">
        <f ca="1" xml:space="preserve"> "/\" &amp;RANDBETWEEN( 1,120) &amp; "/\" &amp;RANDBETWEEN( 1,120) &amp; "/\" &amp;0.1 &amp; "/\" &amp; I255</f>
        <v>/\119/\80/\0.1/\0.302196070554091</v>
      </c>
      <c r="H268" s="80" t="s">
        <v>910</v>
      </c>
      <c r="J268" s="210" t="str">
        <f ca="1">[1]!std_ans($K$268)</f>
        <v>D</v>
      </c>
      <c r="K268" s="211" t="str">
        <f ca="1" xml:space="preserve"> "/\" &amp;RANDBETWEEN( 1,120) &amp; "/\" &amp;RANDBETWEEN( 1,120) &amp; "/\" &amp;0.1 &amp; "/\" &amp; I256</f>
        <v>/\33/\79/\0.1/\1268.92130025663</v>
      </c>
      <c r="L268" s="80" t="s">
        <v>912</v>
      </c>
      <c r="N268" s="214" t="e">
        <f ca="1">[1]!alpha_ans($O$268)</f>
        <v>#VALUE!</v>
      </c>
      <c r="O268" s="215" t="e">
        <f ca="1" xml:space="preserve"> "/\" &amp;RANDBETWEEN( 1,5) &amp; "/\" &amp;RANDBETWEEN( 1,120) &amp; "/\" &amp;R247 &amp; "/\" &amp; R248 &amp; "/\" &amp; R249 &amp; "/\" &amp; R250 &amp; "/\" &amp; R251 &amp; "/\" &amp; R252 &amp; "/\" &amp; R253 &amp; "/\" &amp; R254 &amp; "/\" &amp; R255 &amp; "/\" &amp; R256</f>
        <v>#VALUE!</v>
      </c>
      <c r="P268" s="80" t="s">
        <v>915</v>
      </c>
      <c r="R268" s="76" t="str">
        <f ca="1">[1]!std_ans($S$268)</f>
        <v>C</v>
      </c>
      <c r="S268" s="79" t="str">
        <f ca="1" xml:space="preserve"> "/\" &amp;RANDBETWEEN( 1,120) &amp; "/\" &amp;RANDBETWEEN( 1,120) &amp; "/\" &amp;0.1 &amp; "/\" &amp; I250</f>
        <v>/\67/\34/\0.1/\33840</v>
      </c>
      <c r="T268" s="80" t="s">
        <v>2653</v>
      </c>
    </row>
    <row r="269" spans="2:20" s="17" customFormat="1" ht="16" thickTop="1" x14ac:dyDescent="0.35">
      <c r="B269" s="129">
        <f ca="1">[1]!stdnum_A($C$268)</f>
        <v>1.2337591640803387</v>
      </c>
      <c r="C269" s="168"/>
      <c r="D269" s="77"/>
      <c r="F269" s="92">
        <f ca="1">[1]!stdnum_A($G$268)</f>
        <v>0.27472370050371908</v>
      </c>
      <c r="G269" s="168"/>
      <c r="H269" s="77"/>
      <c r="J269" s="110">
        <f ca="1">[1]!stdnum_A($K$268)</f>
        <v>1048.6952894682893</v>
      </c>
      <c r="K269" s="168"/>
      <c r="L269" s="77"/>
      <c r="N269" s="216" t="e">
        <f ca="1">[1]!standardV_A($O$268)</f>
        <v>#VALUE!</v>
      </c>
      <c r="O269" s="217"/>
      <c r="P269" s="77"/>
      <c r="R269" s="302">
        <f ca="1">[1]!stdnum_A($S$268)</f>
        <v>40946.400000000009</v>
      </c>
      <c r="S269" s="82"/>
      <c r="T269" s="77"/>
    </row>
    <row r="270" spans="2:20" x14ac:dyDescent="0.35">
      <c r="B270" s="129">
        <f ca="1">[1]!stdnum_B($C$268)</f>
        <v>1.3571350804883726</v>
      </c>
      <c r="C270" s="82"/>
      <c r="D270" s="77"/>
      <c r="F270" s="92">
        <f ca="1">[1]!stdnum_B($G$268)</f>
        <v>0.33241567760950008</v>
      </c>
      <c r="G270" s="82"/>
      <c r="H270" s="77"/>
      <c r="J270" s="110">
        <f ca="1">[1]!stdnum_B($K$268)</f>
        <v>953.35935406208091</v>
      </c>
      <c r="K270" s="82"/>
      <c r="L270" s="77"/>
      <c r="N270" s="81" t="e">
        <f ca="1">[1]!standardV_B($O$268)</f>
        <v>#VALUE!</v>
      </c>
      <c r="O270" s="82"/>
      <c r="P270" s="77"/>
      <c r="R270" s="302">
        <f ca="1">[1]!stdnum_B($S$268)</f>
        <v>30763.636363636364</v>
      </c>
      <c r="S270" s="82"/>
      <c r="T270" s="77"/>
    </row>
    <row r="271" spans="2:20" x14ac:dyDescent="0.35">
      <c r="B271" s="129">
        <f ca="1">[1]!stdnum_C($C$268)</f>
        <v>1.121599240073035</v>
      </c>
      <c r="C271" s="82"/>
      <c r="D271" s="77"/>
      <c r="F271" s="92">
        <f ca="1">[1]!stdnum_C($G$268)</f>
        <v>0.22704438058158594</v>
      </c>
      <c r="G271" s="82"/>
      <c r="H271" s="77"/>
      <c r="J271" s="110">
        <f ca="1">[1]!stdnum_C($K$268)</f>
        <v>1153.5648184151182</v>
      </c>
      <c r="K271" s="82"/>
      <c r="L271" s="77"/>
      <c r="N271" s="81" t="e">
        <f ca="1">[1]!standardV_C($O$268)</f>
        <v>#VALUE!</v>
      </c>
      <c r="O271" s="82"/>
      <c r="P271" s="77"/>
      <c r="R271" s="302">
        <f ca="1">[1]!stdnum_C($S$268)</f>
        <v>33840</v>
      </c>
      <c r="S271" s="82"/>
      <c r="T271" s="77"/>
    </row>
    <row r="272" spans="2:20" s="17" customFormat="1" x14ac:dyDescent="0.35">
      <c r="B272" s="129">
        <f ca="1">[1]!stdnum_D($C$268)</f>
        <v>1.49284858853721</v>
      </c>
      <c r="C272" s="82"/>
      <c r="D272" s="199"/>
      <c r="F272" s="92">
        <f ca="1">[1]!stdnum_D($G$268)</f>
        <v>0.30219607055409098</v>
      </c>
      <c r="G272" s="82"/>
      <c r="H272" s="207"/>
      <c r="J272" s="110">
        <f ca="1">[1]!stdnum_D($K$268)</f>
        <v>1268.92130025663</v>
      </c>
      <c r="K272" s="82"/>
      <c r="L272" s="77"/>
      <c r="N272" s="81" t="e">
        <f ca="1">[1]!standardV_D($O$268)</f>
        <v>#VALUE!</v>
      </c>
      <c r="O272" s="82"/>
      <c r="P272" s="199"/>
      <c r="R272" s="302">
        <f ca="1">[1]!stdnum_D($S$268)</f>
        <v>37224</v>
      </c>
      <c r="S272" s="82"/>
      <c r="T272" s="77"/>
    </row>
    <row r="273" spans="1:20" s="17" customFormat="1" ht="16" thickBot="1" x14ac:dyDescent="0.4">
      <c r="B273" s="130">
        <f ca="1">[1]!stdnum_E($C$268)</f>
        <v>1.6421334473909313</v>
      </c>
      <c r="C273" s="206"/>
      <c r="D273" s="203"/>
      <c r="F273" s="93">
        <f ca="1">[1]!stdnum_E($G$268)</f>
        <v>0.24974881863974457</v>
      </c>
      <c r="G273" s="206"/>
      <c r="H273" s="203"/>
      <c r="J273" s="111">
        <f ca="1">[1]!stdnum_E($K$268)</f>
        <v>1395.8134302822932</v>
      </c>
      <c r="K273" s="84"/>
      <c r="L273" s="78"/>
      <c r="N273" s="201" t="e">
        <f ca="1">[1]!standardV_E($O$268)</f>
        <v>#VALUE!</v>
      </c>
      <c r="O273" s="84"/>
      <c r="P273" s="78"/>
      <c r="R273" s="303">
        <f ca="1">[1]!stdnum_E($S$268)</f>
        <v>45041.040000000015</v>
      </c>
      <c r="S273" s="84"/>
      <c r="T273" s="78"/>
    </row>
    <row r="274" spans="1:20" s="17" customFormat="1" ht="16" thickTop="1" x14ac:dyDescent="0.35">
      <c r="C274" s="189"/>
      <c r="D274" s="133"/>
      <c r="G274" s="189"/>
      <c r="H274" s="133"/>
      <c r="N274" s="188"/>
      <c r="O274" s="188"/>
      <c r="P274" s="133"/>
    </row>
    <row r="275" spans="1:20" s="17" customFormat="1" x14ac:dyDescent="0.35">
      <c r="B275" s="187"/>
      <c r="C275" s="187"/>
      <c r="F275" s="191"/>
      <c r="G275" s="191"/>
      <c r="N275" s="192"/>
      <c r="O275" s="187"/>
    </row>
    <row r="276" spans="1:20" s="17" customFormat="1" x14ac:dyDescent="0.35">
      <c r="A276" s="120" t="s">
        <v>916</v>
      </c>
      <c r="B276" s="187"/>
      <c r="C276" s="187"/>
      <c r="F276" s="191"/>
      <c r="G276" s="191"/>
      <c r="N276" s="192"/>
      <c r="O276" s="187"/>
    </row>
    <row r="277" spans="1:20" x14ac:dyDescent="0.35">
      <c r="A277" s="20">
        <f ca="1">RANDBETWEEN(40,90)*100</f>
        <v>8200</v>
      </c>
      <c r="B277" s="2" t="s">
        <v>3205</v>
      </c>
      <c r="E277" s="115">
        <f ca="1">A279*A278/A277</f>
        <v>1.21</v>
      </c>
      <c r="F277" s="2" t="s">
        <v>3207</v>
      </c>
    </row>
    <row r="278" spans="1:20" x14ac:dyDescent="0.35">
      <c r="A278" s="218">
        <f ca="1">RANDBETWEEN(10,30)*100</f>
        <v>2400</v>
      </c>
      <c r="B278" s="2" t="s">
        <v>3206</v>
      </c>
      <c r="E278" s="115">
        <f ca="1">E277*(1+RANDBETWEEN(26,35)/100)^(IF(RANDBETWEEN(0,1)=0,1,-1))</f>
        <v>0.92366412213740445</v>
      </c>
      <c r="F278" s="2" t="s">
        <v>3668</v>
      </c>
    </row>
    <row r="279" spans="1:20" x14ac:dyDescent="0.35">
      <c r="A279" s="26">
        <f ca="1">(1+RANDBETWEEN(16,25)/100)^(IF(RANDBETWEEN(0,1)=0,1,-1))*A277/A278</f>
        <v>4.1341666666666663</v>
      </c>
      <c r="B279" s="2" t="s">
        <v>2582</v>
      </c>
      <c r="E279" s="4" t="str">
        <f ca="1">IF(E277&lt;E278,"cheap","expensive")</f>
        <v>expensive</v>
      </c>
      <c r="F279" s="2" t="s">
        <v>1918</v>
      </c>
      <c r="I279" s="2" t="str">
        <f ca="1">IF(E277&gt;E278,"cheap","expensive")</f>
        <v>cheap</v>
      </c>
    </row>
    <row r="280" spans="1:20" ht="16" thickBot="1" x14ac:dyDescent="0.4"/>
    <row r="281" spans="1:20" ht="16.5" thickTop="1" thickBot="1" x14ac:dyDescent="0.4">
      <c r="B281" s="76" t="str">
        <f ca="1">[1]!alpha_ans($C$281)</f>
        <v>A</v>
      </c>
      <c r="C281" s="79" t="str">
        <f ca="1" xml:space="preserve"> "/\" &amp;RANDBETWEEN( 1,5) &amp; "/\" &amp;RANDBETWEEN( 1,120) &amp; "/\" &amp;RANDBETWEEN( 1,6) &amp; "/\" &amp;RANDBETWEEN( 1,2) &amp; "/\" &amp; E277 &amp; "/\" &amp; "Mask" &amp; "/\" &amp; "Mask" &amp; "/\" &amp; E279 &amp; "/\" &amp; I279</f>
        <v>/\1/\66/\4/\1/\1.21/\Mask/\Mask/\expensive/\cheap</v>
      </c>
      <c r="D281" s="80" t="s">
        <v>917</v>
      </c>
    </row>
    <row r="282" spans="1:20" ht="16" thickTop="1" x14ac:dyDescent="0.35">
      <c r="B282" s="196">
        <f ca="1">[1]!onepair_A($C$281)</f>
        <v>1.21</v>
      </c>
      <c r="C282" s="82" t="str">
        <f ca="1">[1]!onepair_A2($C$281)</f>
        <v>expensive</v>
      </c>
      <c r="D282" s="77"/>
    </row>
    <row r="283" spans="1:20" x14ac:dyDescent="0.35">
      <c r="B283" s="196">
        <f ca="1">[1]!onepair_B($C$281)</f>
        <v>1.05217391304348</v>
      </c>
      <c r="C283" s="82" t="str">
        <f ca="1">[1]!onepair_B2($C$281)</f>
        <v>expensive</v>
      </c>
      <c r="D283" s="77"/>
    </row>
    <row r="284" spans="1:20" x14ac:dyDescent="0.35">
      <c r="B284" s="196">
        <f ca="1">[1]!onepair_C($C$281)</f>
        <v>1.05217391304348</v>
      </c>
      <c r="C284" s="82" t="str">
        <f ca="1">[1]!onepair_C2($C$281)</f>
        <v>cheap</v>
      </c>
      <c r="D284" s="77"/>
    </row>
    <row r="285" spans="1:20" x14ac:dyDescent="0.35">
      <c r="B285" s="196">
        <f ca="1">[1]!onepair_D($C$281)</f>
        <v>1.3915</v>
      </c>
      <c r="C285" s="82" t="str">
        <f ca="1">[1]!onepair_D2($C$281)</f>
        <v>expensive</v>
      </c>
      <c r="D285" s="77"/>
    </row>
    <row r="286" spans="1:20" ht="16" thickBot="1" x14ac:dyDescent="0.4">
      <c r="B286" s="219">
        <f ca="1">[1]!onepair_E($C$281)</f>
        <v>1.21</v>
      </c>
      <c r="C286" s="84" t="str">
        <f ca="1">[1]!onepair_E2($C$281)</f>
        <v>cheap</v>
      </c>
      <c r="D286" s="78"/>
    </row>
    <row r="287" spans="1:20" ht="16" thickTop="1" x14ac:dyDescent="0.35"/>
    <row r="289" spans="1:6" x14ac:dyDescent="0.35">
      <c r="A289" s="120" t="s">
        <v>918</v>
      </c>
    </row>
    <row r="290" spans="1:6" x14ac:dyDescent="0.35">
      <c r="A290" s="8">
        <f ca="1">RANDBETWEEN(20,60)</f>
        <v>22</v>
      </c>
      <c r="B290" s="2" t="s">
        <v>2797</v>
      </c>
      <c r="E290" s="10">
        <f ca="1">A290*A292</f>
        <v>9680</v>
      </c>
      <c r="F290" s="2" t="s">
        <v>3286</v>
      </c>
    </row>
    <row r="291" spans="1:6" x14ac:dyDescent="0.35">
      <c r="A291" s="8">
        <f ca="1">ROUND((1+RANDBETWEEN(16,25)/100)^(IF(RANDBETWEEN(0,1)=0,1,-1))*A290,0)</f>
        <v>18</v>
      </c>
      <c r="B291" s="2" t="s">
        <v>3285</v>
      </c>
      <c r="E291" s="114">
        <f ca="1">A290/A291</f>
        <v>1.2222222222222223</v>
      </c>
      <c r="F291" s="2" t="s">
        <v>492</v>
      </c>
    </row>
    <row r="292" spans="1:6" x14ac:dyDescent="0.35">
      <c r="A292" s="2">
        <f ca="1">RANDBETWEEN(20,60)*10</f>
        <v>440</v>
      </c>
      <c r="B292" s="2" t="s">
        <v>2236</v>
      </c>
    </row>
    <row r="293" spans="1:6" ht="16" thickBot="1" x14ac:dyDescent="0.4"/>
    <row r="294" spans="1:6" ht="16.5" thickTop="1" thickBot="1" x14ac:dyDescent="0.4">
      <c r="B294" s="76" t="str">
        <f ca="1">[1]!alpha_ans($C$294)</f>
        <v>D</v>
      </c>
      <c r="C294" s="79" t="str">
        <f ca="1" xml:space="preserve"> "/\" &amp;RANDBETWEEN( 1,5) &amp; "/\" &amp;RANDBETWEEN( 1,120) &amp; "/\" &amp;RANDBETWEEN( 1,6) &amp; "/\" &amp;RANDBETWEEN( 1,2) &amp; "/\" &amp; E290 &amp; "/\" &amp; "Mask" &amp; "/\" &amp; "Mask" &amp; "/\" &amp; E291 &amp; "/\" &amp; "Mask"</f>
        <v>/\4/\41/\2/\2/\9680/\Mask/\Mask/\1.22222222222222/\Mask</v>
      </c>
      <c r="D294" s="80" t="s">
        <v>919</v>
      </c>
    </row>
    <row r="295" spans="1:6" ht="16" thickTop="1" x14ac:dyDescent="0.35">
      <c r="B295" s="110">
        <f ca="1">ROUND([1]!onepair_A($C$294),-1)</f>
        <v>12800</v>
      </c>
      <c r="C295" s="124">
        <f ca="1">[1]!onepair_A2($C$294)</f>
        <v>1.2222222222222201</v>
      </c>
      <c r="D295" s="77"/>
    </row>
    <row r="296" spans="1:6" x14ac:dyDescent="0.35">
      <c r="B296" s="110">
        <f ca="1">ROUND([1]!onepair_B($C$294),-1)</f>
        <v>11130</v>
      </c>
      <c r="C296" s="124">
        <f ca="1">[1]!onepair_B2($C$294)</f>
        <v>1.2222222222222201</v>
      </c>
      <c r="D296" s="77"/>
    </row>
    <row r="297" spans="1:6" x14ac:dyDescent="0.35">
      <c r="B297" s="110">
        <f ca="1">ROUND([1]!onepair_C($C$294),-1)</f>
        <v>11130</v>
      </c>
      <c r="C297" s="124">
        <f ca="1">[1]!onepair_C2($C$294)</f>
        <v>1.4055555555555499</v>
      </c>
      <c r="D297" s="77"/>
    </row>
    <row r="298" spans="1:6" x14ac:dyDescent="0.35">
      <c r="B298" s="110">
        <f ca="1">ROUND([1]!onepair_D($C$294),-1)</f>
        <v>9680</v>
      </c>
      <c r="C298" s="124">
        <f ca="1">[1]!onepair_D2($C$294)</f>
        <v>1.2222222222222201</v>
      </c>
      <c r="D298" s="77"/>
    </row>
    <row r="299" spans="1:6" ht="16" thickBot="1" x14ac:dyDescent="0.4">
      <c r="B299" s="111">
        <f ca="1">ROUND([1]!onepair_E($C$294),-1)</f>
        <v>12800</v>
      </c>
      <c r="C299" s="125">
        <f ca="1">[1]!onepair_E2($C$294)</f>
        <v>1.4055555555555499</v>
      </c>
      <c r="D299" s="78"/>
    </row>
    <row r="300" spans="1:6" ht="16" thickTop="1" x14ac:dyDescent="0.35"/>
    <row r="302" spans="1:6" x14ac:dyDescent="0.35">
      <c r="A302" s="88" t="s">
        <v>3324</v>
      </c>
    </row>
    <row r="303" spans="1:6" x14ac:dyDescent="0.35">
      <c r="A303" s="20">
        <f ca="1">RANDBETWEEN(20,60)</f>
        <v>54</v>
      </c>
      <c r="B303" s="2" t="s">
        <v>2797</v>
      </c>
      <c r="E303" s="10">
        <f ca="1">A303*A304</f>
        <v>31320</v>
      </c>
      <c r="F303" s="2" t="s">
        <v>2458</v>
      </c>
    </row>
    <row r="304" spans="1:6" x14ac:dyDescent="0.35">
      <c r="A304" s="4">
        <f ca="1">RANDBETWEEN(20,60)*10</f>
        <v>580</v>
      </c>
      <c r="B304" s="2" t="s">
        <v>2236</v>
      </c>
      <c r="E304" s="10">
        <f ca="1">A304*(A303+A306*sign1)</f>
        <v>29000</v>
      </c>
      <c r="F304" s="2" t="s">
        <v>2459</v>
      </c>
    </row>
    <row r="305" spans="1:6" x14ac:dyDescent="0.35">
      <c r="A305" s="4" t="str">
        <f ca="1">IF(sign1&gt;0,"increases","decreases")</f>
        <v>decreases</v>
      </c>
      <c r="B305" s="2" t="s">
        <v>2729</v>
      </c>
      <c r="E305" s="14">
        <f ca="1">E304/E303-1</f>
        <v>-7.407407407407407E-2</v>
      </c>
      <c r="F305" s="2" t="s">
        <v>2460</v>
      </c>
    </row>
    <row r="306" spans="1:6" x14ac:dyDescent="0.35">
      <c r="A306" s="20">
        <f ca="1">RANDBETWEEN(2,6)</f>
        <v>4</v>
      </c>
      <c r="B306" s="2" t="s">
        <v>2457</v>
      </c>
    </row>
    <row r="307" spans="1:6" ht="16" thickBot="1" x14ac:dyDescent="0.4"/>
    <row r="308" spans="1:6" ht="16.5" thickTop="1" thickBot="1" x14ac:dyDescent="0.4">
      <c r="B308" s="76" t="str">
        <f ca="1">[1]!std_ans($C$308)</f>
        <v>D</v>
      </c>
      <c r="C308" s="79" t="str">
        <f ca="1" xml:space="preserve"> "/\" &amp;RANDBETWEEN( 1,120) &amp; "/\" &amp;RANDBETWEEN( 1,120) &amp; "/\" &amp;0.1 &amp; "/\" &amp; E305</f>
        <v>/\63/\46/\0.1/\-0.0740740740740741</v>
      </c>
      <c r="D308" s="80" t="s">
        <v>3325</v>
      </c>
    </row>
    <row r="309" spans="1:6" ht="16" thickTop="1" x14ac:dyDescent="0.35">
      <c r="B309" s="134">
        <f ca="1">[1]!stdnum_A($C$308)</f>
        <v>-8.1481481481481516E-2</v>
      </c>
      <c r="C309" s="82"/>
      <c r="D309" s="77"/>
    </row>
    <row r="310" spans="1:6" x14ac:dyDescent="0.35">
      <c r="B310" s="134">
        <f ca="1">[1]!stdnum_B($C$308)</f>
        <v>-8.962962962962967E-2</v>
      </c>
      <c r="C310" s="82"/>
      <c r="D310" s="77"/>
    </row>
    <row r="311" spans="1:6" x14ac:dyDescent="0.35">
      <c r="B311" s="134">
        <f ca="1">[1]!stdnum_C($C$308)</f>
        <v>-9.8592592592592648E-2</v>
      </c>
      <c r="C311" s="82"/>
      <c r="D311" s="77"/>
    </row>
    <row r="312" spans="1:6" x14ac:dyDescent="0.35">
      <c r="B312" s="134">
        <f ca="1">[1]!stdnum_D($C$308)</f>
        <v>-7.4074074074074098E-2</v>
      </c>
      <c r="C312" s="82"/>
      <c r="D312" s="77"/>
    </row>
    <row r="313" spans="1:6" ht="16" thickBot="1" x14ac:dyDescent="0.4">
      <c r="B313" s="135">
        <f ca="1">[1]!stdnum_E($C$308)</f>
        <v>-6.7340067340067353E-2</v>
      </c>
      <c r="C313" s="84"/>
      <c r="D313" s="78"/>
    </row>
    <row r="314" spans="1:6" ht="16" thickTop="1" x14ac:dyDescent="0.35"/>
    <row r="316" spans="1:6" x14ac:dyDescent="0.35">
      <c r="A316" s="120" t="s">
        <v>3229</v>
      </c>
    </row>
    <row r="317" spans="1:6" x14ac:dyDescent="0.35">
      <c r="A317" s="7">
        <f ca="1">RANDBETWEEN(200,400)/1000</f>
        <v>0.30099999999999999</v>
      </c>
      <c r="B317" s="2" t="s">
        <v>607</v>
      </c>
      <c r="E317" s="27">
        <f ca="1">(1+A317)*A318-A319</f>
        <v>64.310999999999993</v>
      </c>
      <c r="F317" s="2" t="s">
        <v>2999</v>
      </c>
    </row>
    <row r="318" spans="1:6" x14ac:dyDescent="0.35">
      <c r="A318" s="20">
        <f ca="1">RANDBETWEEN(20,60)</f>
        <v>51</v>
      </c>
      <c r="B318" s="2" t="s">
        <v>2997</v>
      </c>
    </row>
    <row r="319" spans="1:6" x14ac:dyDescent="0.35">
      <c r="A319" s="220">
        <f ca="1">ROUND(A318*RANDBETWEEN(2,6)/100,2)</f>
        <v>2.04</v>
      </c>
      <c r="B319" s="2" t="s">
        <v>2998</v>
      </c>
    </row>
    <row r="320" spans="1:6" ht="16" thickBot="1" x14ac:dyDescent="0.4"/>
    <row r="321" spans="1:5" ht="16.5" thickTop="1" thickBot="1" x14ac:dyDescent="0.4">
      <c r="B321" s="76" t="str">
        <f ca="1">[1]!std_ans($C$321)</f>
        <v>B</v>
      </c>
      <c r="C321" s="79" t="str">
        <f ca="1" xml:space="preserve"> "/\" &amp;RANDBETWEEN( 1,120) &amp; "/\" &amp;RANDBETWEEN( 1,120) &amp; "/\" &amp;0.1 &amp; "/\" &amp; E317</f>
        <v>/\28/\33/\0.1/\64.311</v>
      </c>
      <c r="D321" s="80" t="s">
        <v>3230</v>
      </c>
    </row>
    <row r="322" spans="1:5" ht="16" thickTop="1" x14ac:dyDescent="0.35">
      <c r="B322" s="129">
        <f ca="1">[1]!stdnum_A($C$321)</f>
        <v>70.742100000000008</v>
      </c>
      <c r="C322" s="82"/>
      <c r="D322" s="77"/>
    </row>
    <row r="323" spans="1:5" x14ac:dyDescent="0.35">
      <c r="B323" s="129">
        <f ca="1">[1]!stdnum_B($C$321)</f>
        <v>64.311000000000007</v>
      </c>
      <c r="C323" s="82"/>
      <c r="D323" s="77"/>
    </row>
    <row r="324" spans="1:5" x14ac:dyDescent="0.35">
      <c r="B324" s="129">
        <f ca="1">[1]!stdnum_C($C$321)</f>
        <v>58.464545454545458</v>
      </c>
      <c r="C324" s="82"/>
      <c r="D324" s="77"/>
    </row>
    <row r="325" spans="1:5" x14ac:dyDescent="0.35">
      <c r="B325" s="129">
        <f ca="1">[1]!stdnum_D($C$321)</f>
        <v>85.597941000000034</v>
      </c>
      <c r="C325" s="82"/>
      <c r="D325" s="77"/>
    </row>
    <row r="326" spans="1:5" ht="16" thickBot="1" x14ac:dyDescent="0.4">
      <c r="B326" s="130">
        <f ca="1">[1]!stdnum_E($C$321)</f>
        <v>77.816310000000016</v>
      </c>
      <c r="C326" s="84"/>
      <c r="D326" s="78"/>
    </row>
    <row r="327" spans="1:5" ht="16" thickTop="1" x14ac:dyDescent="0.35"/>
    <row r="329" spans="1:5" x14ac:dyDescent="0.35">
      <c r="A329" s="88" t="s">
        <v>1831</v>
      </c>
    </row>
    <row r="330" spans="1:5" x14ac:dyDescent="0.35">
      <c r="B330" s="22" t="s">
        <v>3391</v>
      </c>
    </row>
    <row r="331" spans="1:5" x14ac:dyDescent="0.35">
      <c r="A331" s="8"/>
      <c r="C331" s="8">
        <f ca="1">C333-C332</f>
        <v>1000</v>
      </c>
      <c r="D331" s="2" t="s">
        <v>2876</v>
      </c>
    </row>
    <row r="332" spans="1:5" x14ac:dyDescent="0.35">
      <c r="A332" s="98" t="s">
        <v>2481</v>
      </c>
      <c r="B332" s="11"/>
      <c r="C332" s="99">
        <f ca="1">ROUND(A333*RANDBETWEEN(50,80)/100,-2)</f>
        <v>2600</v>
      </c>
      <c r="D332" s="11" t="s">
        <v>3390</v>
      </c>
    </row>
    <row r="333" spans="1:5" x14ac:dyDescent="0.35">
      <c r="A333" s="8">
        <f ca="1">RANDBETWEEN(30,50)*100</f>
        <v>3600</v>
      </c>
      <c r="B333" s="2" t="s">
        <v>2439</v>
      </c>
      <c r="C333" s="8">
        <f ca="1">A333</f>
        <v>3600</v>
      </c>
    </row>
    <row r="335" spans="1:5" x14ac:dyDescent="0.35">
      <c r="B335" s="100" t="s">
        <v>3826</v>
      </c>
      <c r="C335" s="100"/>
      <c r="D335" s="100"/>
      <c r="E335" s="22" t="s">
        <v>3279</v>
      </c>
    </row>
    <row r="336" spans="1:5" x14ac:dyDescent="0.35">
      <c r="A336" s="35">
        <f ca="1">RANDBETWEEN(20,50)/10</f>
        <v>3.5</v>
      </c>
      <c r="B336" s="2" t="s">
        <v>3596</v>
      </c>
      <c r="D336" s="24">
        <f ca="1">A336*A333</f>
        <v>12600</v>
      </c>
      <c r="E336" s="2" t="s">
        <v>3832</v>
      </c>
    </row>
    <row r="337" spans="1:16" x14ac:dyDescent="0.35">
      <c r="A337" s="29">
        <f ca="1">RANDBETWEEN(50,100)/1000</f>
        <v>8.6999999999999994E-2</v>
      </c>
      <c r="B337" s="2" t="s">
        <v>357</v>
      </c>
      <c r="D337" s="24">
        <f ca="1">D336*A337</f>
        <v>1096.1999999999998</v>
      </c>
      <c r="E337" s="2" t="s">
        <v>3831</v>
      </c>
    </row>
    <row r="338" spans="1:16" x14ac:dyDescent="0.35">
      <c r="A338" s="32">
        <f ca="1">RANDBETWEEN(7,13)*5/100</f>
        <v>0.5</v>
      </c>
      <c r="B338" s="2" t="s">
        <v>2877</v>
      </c>
      <c r="D338" s="24">
        <f ca="1">D337*A338</f>
        <v>548.09999999999991</v>
      </c>
      <c r="E338" s="2" t="s">
        <v>3241</v>
      </c>
    </row>
    <row r="339" spans="1:16" x14ac:dyDescent="0.35">
      <c r="A339" s="2">
        <f ca="1">ROUND(C332/10,-1)</f>
        <v>260</v>
      </c>
      <c r="B339" s="2" t="s">
        <v>2673</v>
      </c>
      <c r="D339" s="24">
        <f ca="1">D337*(1-A338)</f>
        <v>548.09999999999991</v>
      </c>
      <c r="E339" s="2" t="s">
        <v>3280</v>
      </c>
    </row>
    <row r="340" spans="1:16" x14ac:dyDescent="0.35">
      <c r="A340" s="35">
        <f ca="1">RANDBETWEEN(120,200)/10</f>
        <v>17.8</v>
      </c>
      <c r="B340" s="2" t="s">
        <v>3314</v>
      </c>
      <c r="D340" s="10">
        <f ca="1">C332+D339</f>
        <v>3148.1</v>
      </c>
      <c r="E340" s="2" t="s">
        <v>3242</v>
      </c>
    </row>
    <row r="341" spans="1:16" x14ac:dyDescent="0.35">
      <c r="A341" s="35">
        <f ca="1">D342/D341</f>
        <v>6.1981385597662078</v>
      </c>
      <c r="B341" s="2" t="s">
        <v>234</v>
      </c>
      <c r="D341" s="27">
        <f ca="1">D340/A339</f>
        <v>12.108076923076922</v>
      </c>
      <c r="E341" s="2" t="s">
        <v>2332</v>
      </c>
    </row>
    <row r="342" spans="1:16" x14ac:dyDescent="0.35">
      <c r="D342" s="27">
        <f ca="1">A340*D337/A339</f>
        <v>75.047538461538451</v>
      </c>
      <c r="E342" s="2" t="s">
        <v>183</v>
      </c>
    </row>
    <row r="344" spans="1:16" ht="16" thickBot="1" x14ac:dyDescent="0.4">
      <c r="B344" s="120" t="s">
        <v>1508</v>
      </c>
      <c r="F344" s="88" t="s">
        <v>1525</v>
      </c>
      <c r="J344" s="120" t="s">
        <v>2204</v>
      </c>
      <c r="N344" s="120" t="s">
        <v>2206</v>
      </c>
    </row>
    <row r="345" spans="1:16" ht="16.5" thickTop="1" thickBot="1" x14ac:dyDescent="0.4">
      <c r="B345" s="76" t="str">
        <f ca="1">[1]!std_ans($C$345)</f>
        <v>A</v>
      </c>
      <c r="C345" s="79" t="str">
        <f ca="1" xml:space="preserve"> "/\" &amp;RANDBETWEEN( 1,120) &amp; "/\" &amp;RANDBETWEEN( 1,120) &amp; "/\" &amp;0.1 &amp; "/\" &amp; D340</f>
        <v>/\2/\93/\0.1/\3148.1</v>
      </c>
      <c r="D345" s="80" t="s">
        <v>1524</v>
      </c>
      <c r="F345" s="76" t="str">
        <f ca="1">[1]!std_ans($G$345)</f>
        <v>B</v>
      </c>
      <c r="G345" s="79" t="str">
        <f ca="1" xml:space="preserve"> "/\" &amp;RANDBETWEEN( 1,120) &amp; "/\" &amp;RANDBETWEEN( 1,120) &amp; "/\" &amp;0.1 &amp; "/\" &amp; D341</f>
        <v>/\28/\29/\0.1/\12.1080769230769</v>
      </c>
      <c r="H345" s="80" t="s">
        <v>1526</v>
      </c>
      <c r="J345" s="76" t="str">
        <f ca="1">[1]!std_ans($K$345)</f>
        <v>C</v>
      </c>
      <c r="K345" s="79" t="str">
        <f ca="1" xml:space="preserve"> "/\" &amp;RANDBETWEEN( 1,120) &amp; "/\" &amp;RANDBETWEEN( 1,120) &amp; "/\" &amp;0.1 &amp; "/\" &amp; D342</f>
        <v>/\61/\62/\0.1/\75.0475384615385</v>
      </c>
      <c r="L345" s="80" t="s">
        <v>2205</v>
      </c>
      <c r="N345" s="76" t="str">
        <f ca="1">[1]!std_ans($O$345)</f>
        <v>D</v>
      </c>
      <c r="O345" s="79" t="str">
        <f ca="1" xml:space="preserve"> "/\" &amp;RANDBETWEEN( 1,120) &amp; "/\" &amp;RANDBETWEEN( 1,120) &amp; "/\" &amp;0.1 &amp; "/\" &amp; D342</f>
        <v>/\69/\6/\0.1/\75.0475384615385</v>
      </c>
      <c r="P345" s="80" t="s">
        <v>2207</v>
      </c>
    </row>
    <row r="346" spans="1:16" ht="16" thickTop="1" x14ac:dyDescent="0.35">
      <c r="B346" s="110">
        <f ca="1">[1]!stdnum_A($C$345)</f>
        <v>3148.1</v>
      </c>
      <c r="C346" s="82"/>
      <c r="D346" s="77"/>
      <c r="F346" s="129">
        <f ca="1">[1]!stdnum_A($G$345)</f>
        <v>11.007342657342637</v>
      </c>
      <c r="G346" s="82"/>
      <c r="H346" s="77"/>
      <c r="J346" s="129">
        <f ca="1">[1]!stdnum_A($K$345)</f>
        <v>62.022759059122713</v>
      </c>
      <c r="K346" s="82"/>
      <c r="L346" s="77"/>
      <c r="N346" s="129">
        <f ca="1">[1]!stdnum_A($O$345)</f>
        <v>109.87710106153854</v>
      </c>
      <c r="O346" s="82"/>
      <c r="P346" s="77"/>
    </row>
    <row r="347" spans="1:16" x14ac:dyDescent="0.35">
      <c r="B347" s="110">
        <f ca="1">[1]!stdnum_B($C$345)</f>
        <v>3462.9100000000003</v>
      </c>
      <c r="C347" s="82"/>
      <c r="D347" s="77"/>
      <c r="F347" s="129">
        <f ca="1">[1]!stdnum_B($G$345)</f>
        <v>12.108076923076901</v>
      </c>
      <c r="G347" s="82"/>
      <c r="H347" s="77"/>
      <c r="J347" s="129">
        <f ca="1">[1]!stdnum_B($K$345)</f>
        <v>90.807521538461586</v>
      </c>
      <c r="K347" s="82"/>
      <c r="L347" s="77"/>
      <c r="N347" s="129">
        <f ca="1">[1]!stdnum_B($O$345)</f>
        <v>90.807521538461586</v>
      </c>
      <c r="O347" s="82"/>
      <c r="P347" s="77"/>
    </row>
    <row r="348" spans="1:16" x14ac:dyDescent="0.35">
      <c r="B348" s="110">
        <f ca="1">[1]!stdnum_C($C$345)</f>
        <v>2601.7355371900821</v>
      </c>
      <c r="C348" s="82"/>
      <c r="D348" s="77"/>
      <c r="F348" s="129">
        <f ca="1">[1]!stdnum_C($G$345)</f>
        <v>13.318884615384592</v>
      </c>
      <c r="G348" s="82"/>
      <c r="H348" s="77"/>
      <c r="J348" s="129">
        <f ca="1">[1]!stdnum_C($K$345)</f>
        <v>75.047538461538494</v>
      </c>
      <c r="K348" s="82"/>
      <c r="L348" s="77"/>
      <c r="N348" s="129">
        <f ca="1">[1]!stdnum_C($O$345)</f>
        <v>82.552292307692355</v>
      </c>
      <c r="O348" s="82"/>
      <c r="P348" s="77"/>
    </row>
    <row r="349" spans="1:16" x14ac:dyDescent="0.35">
      <c r="B349" s="110">
        <f ca="1">[1]!stdnum_D($C$345)</f>
        <v>2861.9090909090905</v>
      </c>
      <c r="C349" s="82"/>
      <c r="D349" s="77"/>
      <c r="F349" s="129">
        <f ca="1">[1]!stdnum_D($G$345)</f>
        <v>14.650773076923052</v>
      </c>
      <c r="G349" s="82"/>
      <c r="H349" s="77"/>
      <c r="J349" s="129">
        <f ca="1">[1]!stdnum_D($K$345)</f>
        <v>82.552292307692355</v>
      </c>
      <c r="K349" s="82"/>
      <c r="L349" s="77"/>
      <c r="N349" s="129">
        <f ca="1">[1]!stdnum_D($O$345)</f>
        <v>75.047538461538494</v>
      </c>
      <c r="O349" s="82"/>
      <c r="P349" s="77"/>
    </row>
    <row r="350" spans="1:16" ht="16" thickBot="1" x14ac:dyDescent="0.4">
      <c r="B350" s="111">
        <f ca="1">[1]!stdnum_E($C$345)</f>
        <v>2365.2141247182562</v>
      </c>
      <c r="C350" s="84"/>
      <c r="D350" s="78"/>
      <c r="F350" s="130">
        <f ca="1">[1]!stdnum_E($G$345)</f>
        <v>16.11585038461536</v>
      </c>
      <c r="G350" s="84"/>
      <c r="H350" s="78"/>
      <c r="J350" s="130">
        <f ca="1">[1]!stdnum_E($K$345)</f>
        <v>68.225034965034993</v>
      </c>
      <c r="K350" s="84"/>
      <c r="L350" s="78"/>
      <c r="N350" s="130">
        <f ca="1">[1]!stdnum_E($O$345)</f>
        <v>99.888273692307763</v>
      </c>
      <c r="O350" s="84"/>
      <c r="P350" s="78"/>
    </row>
    <row r="351" spans="1:16" ht="16" thickTop="1" x14ac:dyDescent="0.35"/>
    <row r="353" spans="1:6" x14ac:dyDescent="0.35">
      <c r="A353" s="88" t="s">
        <v>2209</v>
      </c>
    </row>
    <row r="354" spans="1:6" x14ac:dyDescent="0.35">
      <c r="B354" s="22" t="s">
        <v>3391</v>
      </c>
    </row>
    <row r="355" spans="1:6" x14ac:dyDescent="0.35">
      <c r="A355" s="8"/>
      <c r="C355" s="8">
        <f ca="1">C357-C356</f>
        <v>2300</v>
      </c>
      <c r="D355" s="2" t="s">
        <v>2876</v>
      </c>
    </row>
    <row r="356" spans="1:6" x14ac:dyDescent="0.35">
      <c r="A356" s="98" t="s">
        <v>2481</v>
      </c>
      <c r="B356" s="11"/>
      <c r="C356" s="99">
        <f ca="1">ROUND(A357*RANDBETWEEN(50,80)/100,-2)</f>
        <v>2900</v>
      </c>
      <c r="D356" s="11" t="s">
        <v>3390</v>
      </c>
    </row>
    <row r="357" spans="1:6" x14ac:dyDescent="0.35">
      <c r="A357" s="8">
        <f ca="1">RANDBETWEEN(40,60)*100</f>
        <v>5200</v>
      </c>
      <c r="B357" s="2" t="s">
        <v>2439</v>
      </c>
      <c r="C357" s="8">
        <f ca="1">A357</f>
        <v>5200</v>
      </c>
    </row>
    <row r="359" spans="1:6" x14ac:dyDescent="0.35">
      <c r="A359" s="2">
        <f ca="1">100*RANDBETWEEN(4,10)</f>
        <v>700</v>
      </c>
      <c r="B359" s="2" t="s">
        <v>2673</v>
      </c>
      <c r="E359" s="10">
        <f ca="1">A361*A362-A363-A364*C355</f>
        <v>4814</v>
      </c>
      <c r="F359" s="2" t="s">
        <v>2187</v>
      </c>
    </row>
    <row r="360" spans="1:6" x14ac:dyDescent="0.35">
      <c r="A360" s="2">
        <f ca="1">ROUND((IF(RANDBETWEEN(0,1)=0,1/1.3,1.3))*RANDBETWEEN(80,100)/100,2)</f>
        <v>0.76</v>
      </c>
      <c r="B360" s="2" t="s">
        <v>756</v>
      </c>
      <c r="E360" s="8">
        <f ca="1">E359*(1-A366)</f>
        <v>3369.7999999999997</v>
      </c>
      <c r="F360" s="2" t="s">
        <v>761</v>
      </c>
    </row>
    <row r="361" spans="1:6" x14ac:dyDescent="0.35">
      <c r="A361" s="10">
        <f ca="1">ROUND(A357*RANDBETWEEN(40,60)/10,-2)</f>
        <v>29100</v>
      </c>
      <c r="B361" s="2" t="s">
        <v>757</v>
      </c>
      <c r="E361" s="10">
        <f ca="1">E360*A365</f>
        <v>1651.2019999999998</v>
      </c>
      <c r="F361" s="2" t="s">
        <v>3241</v>
      </c>
    </row>
    <row r="362" spans="1:6" x14ac:dyDescent="0.35">
      <c r="A362" s="12">
        <f ca="1">RANDBETWEEN(15,30)/100</f>
        <v>0.21</v>
      </c>
      <c r="B362" s="2" t="s">
        <v>758</v>
      </c>
      <c r="E362" s="10">
        <f ca="1">E360-E361</f>
        <v>1718.598</v>
      </c>
      <c r="F362" s="2" t="s">
        <v>2188</v>
      </c>
    </row>
    <row r="363" spans="1:6" x14ac:dyDescent="0.35">
      <c r="A363" s="8">
        <f ca="1">ROUND(A357*RANDBETWEEN(15,30)/100,-1)</f>
        <v>1090</v>
      </c>
      <c r="B363" s="2" t="s">
        <v>759</v>
      </c>
      <c r="E363" s="10">
        <f ca="1">C356+E362</f>
        <v>4618.598</v>
      </c>
      <c r="F363" s="2" t="s">
        <v>3810</v>
      </c>
    </row>
    <row r="364" spans="1:6" x14ac:dyDescent="0.35">
      <c r="A364" s="12">
        <f ca="1">RANDBETWEEN(8,12)/100</f>
        <v>0.09</v>
      </c>
      <c r="B364" s="2" t="s">
        <v>760</v>
      </c>
      <c r="E364" s="27">
        <f ca="1">C356/A359</f>
        <v>4.1428571428571432</v>
      </c>
      <c r="F364" s="2" t="s">
        <v>3811</v>
      </c>
    </row>
    <row r="365" spans="1:6" x14ac:dyDescent="0.35">
      <c r="A365" s="12">
        <f ca="1">RANDBETWEEN(30,70)/100</f>
        <v>0.49</v>
      </c>
      <c r="B365" s="2" t="s">
        <v>2877</v>
      </c>
      <c r="E365" s="27">
        <f ca="1">E363/A359</f>
        <v>6.5979971428571424</v>
      </c>
      <c r="F365" s="2" t="s">
        <v>2767</v>
      </c>
    </row>
    <row r="366" spans="1:6" x14ac:dyDescent="0.35">
      <c r="A366" s="12">
        <f ca="1">RANDBETWEEN(30,35)/100</f>
        <v>0.3</v>
      </c>
      <c r="B366" s="2" t="s">
        <v>643</v>
      </c>
      <c r="E366" s="12">
        <f ca="1">E365/E364-1</f>
        <v>0.5926199999999997</v>
      </c>
      <c r="F366" s="2" t="s">
        <v>2208</v>
      </c>
    </row>
    <row r="367" spans="1:6" x14ac:dyDescent="0.35">
      <c r="E367" s="27">
        <f ca="1">E365*A360</f>
        <v>5.0144778285714287</v>
      </c>
      <c r="F367" s="2" t="s">
        <v>1708</v>
      </c>
    </row>
    <row r="369" spans="1:16" ht="16" thickBot="1" x14ac:dyDescent="0.4">
      <c r="B369" s="88" t="s">
        <v>2211</v>
      </c>
      <c r="F369" s="88" t="s">
        <v>2212</v>
      </c>
      <c r="J369" s="120" t="s">
        <v>570</v>
      </c>
      <c r="N369" s="120" t="s">
        <v>3117</v>
      </c>
    </row>
    <row r="370" spans="1:16" ht="16.5" thickTop="1" thickBot="1" x14ac:dyDescent="0.4">
      <c r="B370" s="76" t="str">
        <f ca="1">[1]!std_ans($C$370)</f>
        <v>D</v>
      </c>
      <c r="C370" s="79" t="str">
        <f ca="1" xml:space="preserve"> "/\" &amp;RANDBETWEEN( 1,120) &amp; "/\" &amp;RANDBETWEEN( 1,120) &amp; "/\" &amp;0.1 &amp; "/\" &amp; E360</f>
        <v>/\83/\80/\0.1/\3369.8</v>
      </c>
      <c r="D370" s="80" t="s">
        <v>2210</v>
      </c>
      <c r="F370" s="76" t="str">
        <f ca="1">[1]!std_ans($G$370)</f>
        <v>C</v>
      </c>
      <c r="G370" s="79" t="str">
        <f ca="1" xml:space="preserve"> "/\" &amp;RANDBETWEEN( 1,120) &amp; "/\" &amp;RANDBETWEEN( 1,120) &amp; "/\" &amp;0.1 &amp; "/\" &amp; E363</f>
        <v>/\32/\84/\0.1/\4618.598</v>
      </c>
      <c r="H370" s="80" t="s">
        <v>569</v>
      </c>
      <c r="J370" s="76" t="str">
        <f ca="1">[1]!std_ans($K$370)</f>
        <v>C</v>
      </c>
      <c r="K370" s="79" t="str">
        <f ca="1" xml:space="preserve"> "/\" &amp;RANDBETWEEN( 1,120) &amp; "/\" &amp;RANDBETWEEN( 1,120) &amp; "/\" &amp;0.1 &amp; "/\" &amp; E367</f>
        <v>/\31/\108/\0.1/\5.01447782857143</v>
      </c>
      <c r="L370" s="80" t="s">
        <v>571</v>
      </c>
      <c r="N370" s="76" t="str">
        <f ca="1">[1]!std_ans($O$370)</f>
        <v>B</v>
      </c>
      <c r="O370" s="79" t="str">
        <f ca="1" xml:space="preserve"> "/\" &amp;RANDBETWEEN( 1,120) &amp; "/\" &amp;RANDBETWEEN( 1,120) &amp; "/\" &amp;0.1 &amp; "/\" &amp; E366</f>
        <v>/\52/\31/\0.1/\0.59262</v>
      </c>
      <c r="P370" s="80" t="s">
        <v>3118</v>
      </c>
    </row>
    <row r="371" spans="1:16" ht="16" thickTop="1" x14ac:dyDescent="0.35">
      <c r="B371" s="110">
        <f ca="1">[1]!stdnum_A($C$370)</f>
        <v>3706.7800000000007</v>
      </c>
      <c r="C371" s="82"/>
      <c r="D371" s="77"/>
      <c r="F371" s="110">
        <f ca="1">[1]!stdnum_A($G$370)</f>
        <v>3817.0231404958672</v>
      </c>
      <c r="G371" s="82"/>
      <c r="H371" s="77"/>
      <c r="J371" s="129">
        <f ca="1">[1]!stdnum_A($K$370)</f>
        <v>3.7674514113985191</v>
      </c>
      <c r="K371" s="82"/>
      <c r="L371" s="77"/>
      <c r="N371" s="112">
        <f ca="1">[1]!stdnum_A($O$370)</f>
        <v>0.53874545454545453</v>
      </c>
      <c r="O371" s="82"/>
      <c r="P371" s="77"/>
    </row>
    <row r="372" spans="1:16" x14ac:dyDescent="0.35">
      <c r="B372" s="110">
        <f ca="1">[1]!stdnum_B($C$370)</f>
        <v>2784.9586776859501</v>
      </c>
      <c r="C372" s="82"/>
      <c r="D372" s="77"/>
      <c r="F372" s="110">
        <f ca="1">[1]!stdnum_B($G$370)</f>
        <v>5080.4578000000001</v>
      </c>
      <c r="G372" s="82"/>
      <c r="H372" s="77"/>
      <c r="J372" s="129">
        <f ca="1">[1]!stdnum_B($K$370)</f>
        <v>4.558616207792209</v>
      </c>
      <c r="K372" s="82"/>
      <c r="L372" s="77"/>
      <c r="N372" s="112">
        <f ca="1">[1]!stdnum_B($O$370)</f>
        <v>0.59262000000000004</v>
      </c>
      <c r="O372" s="82"/>
      <c r="P372" s="77"/>
    </row>
    <row r="373" spans="1:16" x14ac:dyDescent="0.35">
      <c r="B373" s="110">
        <f ca="1">[1]!stdnum_C($C$370)</f>
        <v>3063.4545454545455</v>
      </c>
      <c r="C373" s="82"/>
      <c r="D373" s="77"/>
      <c r="F373" s="110">
        <f ca="1">[1]!stdnum_C($G$370)</f>
        <v>4618.598</v>
      </c>
      <c r="G373" s="82"/>
      <c r="H373" s="77"/>
      <c r="J373" s="129">
        <f ca="1">[1]!stdnum_C($K$370)</f>
        <v>5.0144778285714304</v>
      </c>
      <c r="K373" s="82"/>
      <c r="L373" s="77"/>
      <c r="N373" s="112">
        <f ca="1">[1]!stdnum_C($O$370)</f>
        <v>0.7170702000000001</v>
      </c>
      <c r="O373" s="82"/>
      <c r="P373" s="77"/>
    </row>
    <row r="374" spans="1:16" x14ac:dyDescent="0.35">
      <c r="B374" s="110">
        <f ca="1">[1]!stdnum_D($C$370)</f>
        <v>3369.8</v>
      </c>
      <c r="C374" s="82"/>
      <c r="D374" s="77"/>
      <c r="F374" s="110">
        <f ca="1">[1]!stdnum_D($G$370)</f>
        <v>3470.0210368144244</v>
      </c>
      <c r="G374" s="82"/>
      <c r="H374" s="77"/>
      <c r="J374" s="129">
        <f ca="1">[1]!stdnum_D($K$370)</f>
        <v>4.1441965525383715</v>
      </c>
      <c r="K374" s="82"/>
      <c r="L374" s="77"/>
      <c r="N374" s="112">
        <f ca="1">[1]!stdnum_D($O$370)</f>
        <v>0.78877722000000028</v>
      </c>
      <c r="O374" s="82"/>
      <c r="P374" s="77"/>
    </row>
    <row r="375" spans="1:16" ht="16" thickBot="1" x14ac:dyDescent="0.4">
      <c r="B375" s="111">
        <f ca="1">[1]!stdnum_E($C$370)</f>
        <v>2531.7806160781361</v>
      </c>
      <c r="C375" s="84"/>
      <c r="D375" s="78"/>
      <c r="F375" s="111">
        <f ca="1">[1]!stdnum_E($G$370)</f>
        <v>4198.7254545454543</v>
      </c>
      <c r="G375" s="84"/>
      <c r="H375" s="78"/>
      <c r="J375" s="130">
        <f ca="1">[1]!stdnum_E($K$370)</f>
        <v>3.4249558285441086</v>
      </c>
      <c r="K375" s="84"/>
      <c r="L375" s="78"/>
      <c r="N375" s="113">
        <f ca="1">[1]!stdnum_E($O$370)</f>
        <v>0.65188200000000007</v>
      </c>
      <c r="O375" s="84"/>
      <c r="P375" s="78"/>
    </row>
    <row r="376" spans="1:16" ht="16" thickTop="1" x14ac:dyDescent="0.35"/>
    <row r="378" spans="1:16" x14ac:dyDescent="0.35">
      <c r="A378" s="88" t="s">
        <v>3038</v>
      </c>
    </row>
    <row r="379" spans="1:16" x14ac:dyDescent="0.35">
      <c r="B379" s="22" t="s">
        <v>3391</v>
      </c>
      <c r="F379" s="221" t="s">
        <v>3393</v>
      </c>
      <c r="G379" s="222"/>
    </row>
    <row r="380" spans="1:16" x14ac:dyDescent="0.35">
      <c r="A380" s="222">
        <f ca="1">RANDBETWEEN(30,50)*50</f>
        <v>1850</v>
      </c>
      <c r="B380" s="28" t="s">
        <v>729</v>
      </c>
      <c r="C380" s="8">
        <f ca="1">C382-C381</f>
        <v>2350</v>
      </c>
      <c r="D380" s="2" t="s">
        <v>2876</v>
      </c>
      <c r="F380" s="28" t="s">
        <v>2862</v>
      </c>
      <c r="G380" s="223">
        <f ca="1">A382*C388</f>
        <v>26075</v>
      </c>
    </row>
    <row r="381" spans="1:16" x14ac:dyDescent="0.35">
      <c r="A381" s="224">
        <f ca="1">RANDBETWEEN(10,30)*200</f>
        <v>5600</v>
      </c>
      <c r="B381" s="225" t="s">
        <v>2575</v>
      </c>
      <c r="C381" s="99">
        <f ca="1">ROUND(A382*RANDBETWEEN(50,80)/100,-2)</f>
        <v>5100</v>
      </c>
      <c r="D381" s="11" t="s">
        <v>3390</v>
      </c>
      <c r="F381" s="225" t="s">
        <v>124</v>
      </c>
      <c r="G381" s="226">
        <f ca="1">ROUND(G380*RANDBETWEEN(920,960)/1000,-1)</f>
        <v>24950</v>
      </c>
    </row>
    <row r="382" spans="1:16" x14ac:dyDescent="0.35">
      <c r="A382" s="222">
        <f ca="1">SUM(A380:A381)</f>
        <v>7450</v>
      </c>
      <c r="B382" s="28" t="s">
        <v>2439</v>
      </c>
      <c r="C382" s="222">
        <f ca="1">A382</f>
        <v>7450</v>
      </c>
      <c r="F382" s="28" t="s">
        <v>2072</v>
      </c>
      <c r="G382" s="223">
        <f ca="1">G380-G381</f>
        <v>1125</v>
      </c>
    </row>
    <row r="383" spans="1:16" x14ac:dyDescent="0.35">
      <c r="B383" s="28"/>
    </row>
    <row r="384" spans="1:16" x14ac:dyDescent="0.35">
      <c r="A384" s="222"/>
      <c r="B384" s="28"/>
    </row>
    <row r="385" spans="2:8" x14ac:dyDescent="0.35">
      <c r="B385" s="407" t="s">
        <v>390</v>
      </c>
      <c r="C385" s="407"/>
      <c r="D385" s="407"/>
      <c r="F385" s="5" t="s">
        <v>610</v>
      </c>
      <c r="G385" s="5" t="s">
        <v>611</v>
      </c>
      <c r="H385" s="5" t="s">
        <v>3178</v>
      </c>
    </row>
    <row r="386" spans="2:8" x14ac:dyDescent="0.35">
      <c r="B386" s="227"/>
      <c r="C386" s="227" t="s">
        <v>391</v>
      </c>
      <c r="D386" s="2" t="s">
        <v>392</v>
      </c>
      <c r="E386" s="2">
        <f ca="1">ROUND(RANDBETWEEN(1,3),0)</f>
        <v>1</v>
      </c>
      <c r="F386" s="4" t="str">
        <f ca="1">CHOOSE(E386,"profit","turnover","debt")</f>
        <v>profit</v>
      </c>
      <c r="G386" s="2" t="str">
        <f ca="1">CHOOSE(E386,E387,E388,E389)</f>
        <v>small</v>
      </c>
      <c r="H386" s="2" t="str">
        <f ca="1">IF(G386="small","large","small")</f>
        <v>large</v>
      </c>
    </row>
    <row r="387" spans="2:8" x14ac:dyDescent="0.35">
      <c r="B387" s="28" t="s">
        <v>1335</v>
      </c>
      <c r="C387" s="19">
        <f ca="1">G382/G380</f>
        <v>4.3144774688398849E-2</v>
      </c>
      <c r="D387" s="19">
        <f ca="1">IF(E386=1,C387*(1+RANDBETWEEN(16,25)/100)^(IF(RANDBETWEEN(0,1)=0,1,-1)),C387*(1+RANDBETWEEN(1,2)/100)^(IF(RANDBETWEEN(0,1)=0,1,-1)))</f>
        <v>5.0910834132310637E-2</v>
      </c>
      <c r="E387" s="6" t="str">
        <f ca="1">IF(C387&gt;D387,"large","small")</f>
        <v>small</v>
      </c>
      <c r="F387" s="161" t="s">
        <v>1289</v>
      </c>
      <c r="G387" s="2" t="str">
        <f ca="1">CHOOSE(E386,"the company’s profit margin indicates its revenues are unusually "&amp; G386 &amp; " relative to its costs","the company’s asset turnover indicates sales are unusually "&amp; G386 &amp;" relative to its assets","the company’s equity multiplier indicates the firm has an unusually " &amp; G386 &amp;" debt burden")</f>
        <v>the company’s profit margin indicates its revenues are unusually small relative to its costs</v>
      </c>
    </row>
    <row r="388" spans="2:8" x14ac:dyDescent="0.35">
      <c r="B388" s="2" t="s">
        <v>3574</v>
      </c>
      <c r="C388" s="229">
        <f ca="1">RANDBETWEEN(28,62)/10</f>
        <v>3.5</v>
      </c>
      <c r="D388" s="228">
        <f ca="1">IF(E386=2,C388*(1+RANDBETWEEN(16,25)/100)^(IF(RANDBETWEEN(0,1)=0,1,-1)),C388*(1+RANDBETWEEN(1,2)/100)^(IF(RANDBETWEEN(0,1)=0,1,-1)))</f>
        <v>3.5700000000000003</v>
      </c>
      <c r="E388" s="6" t="str">
        <f ca="1">IF(C388&gt;D388,"large","small")</f>
        <v>small</v>
      </c>
      <c r="F388" s="161" t="s">
        <v>1658</v>
      </c>
      <c r="G388" s="2" t="str">
        <f ca="1">CHOOSE(E386,"the company’s equity multiplier indicates the firm has an unusually " &amp; G386 &amp;" debt burden","the company’s profit margin indicates its revenues are unusually "&amp; G386 &amp; " relative to its costs","the company’s asset turnover indicates sales are unusually "&amp; G386 &amp;" relative to its assets")</f>
        <v>the company’s equity multiplier indicates the firm has an unusually small debt burden</v>
      </c>
    </row>
    <row r="389" spans="2:8" x14ac:dyDescent="0.35">
      <c r="B389" s="28" t="s">
        <v>380</v>
      </c>
      <c r="C389" s="7">
        <f ca="1">1-C381/C382</f>
        <v>0.31543624161073824</v>
      </c>
      <c r="D389" s="7">
        <f ca="1">1-(1/D391)</f>
        <v>0.30859060402684557</v>
      </c>
      <c r="E389" s="6" t="str">
        <f ca="1">IF(C389&gt;D389,"large","small")</f>
        <v>large</v>
      </c>
      <c r="F389" s="163"/>
      <c r="G389" s="2" t="str">
        <f ca="1">CHOOSE(E386,"the company’s asset turnover indicates sales are unusually "&amp; G386 &amp;" relative to its assets","the company’s equity multiplier indicates the firm has an unusually " &amp; G386 &amp;" debt burden","the company’s profit margin indicates its revenues are unusually "&amp; G386 &amp; " relative to its costs")</f>
        <v>the company’s asset turnover indicates sales are unusually small relative to its assets</v>
      </c>
    </row>
    <row r="390" spans="2:8" x14ac:dyDescent="0.35">
      <c r="B390" s="28" t="s">
        <v>3573</v>
      </c>
      <c r="C390" s="7">
        <f ca="1">G382/C381</f>
        <v>0.22058823529411764</v>
      </c>
      <c r="D390" s="19">
        <f ca="1">D387*D388*D391</f>
        <v>0.26287128712871283</v>
      </c>
      <c r="E390" s="6"/>
      <c r="F390" s="6" t="str">
        <f ca="1">CHOOSE(RANDBETWEEN(1,3),"12","13","23")</f>
        <v>13</v>
      </c>
      <c r="G390" s="2" t="str">
        <f ca="1">CHOOSE(MID(F390,1,1),"the company’s profit margin indicates its revenues are unusually "&amp; H386 &amp; " relative to its costs","the company’s asset turnover indicates sales are unusually "&amp; H386 &amp;" relative to its assets","the company’s equity multiplier indicates the firm has an unusually " &amp; H386 &amp;" debt burden")</f>
        <v>the company’s profit margin indicates its revenues are unusually large relative to its costs</v>
      </c>
    </row>
    <row r="391" spans="2:8" x14ac:dyDescent="0.35">
      <c r="B391" s="28" t="s">
        <v>1336</v>
      </c>
      <c r="C391" s="228">
        <f ca="1">C382/C381</f>
        <v>1.4607843137254901</v>
      </c>
      <c r="D391" s="228">
        <f ca="1">IF(E386=3,C391*(1+RANDBETWEEN(16,25)/100)^(IF(RANDBETWEEN(0,1)=0,1,-1)),C391*(1+RANDBETWEEN(1,2)/100)^(IF(RANDBETWEEN(0,1)=0,1,-1)))</f>
        <v>1.446321102698505</v>
      </c>
      <c r="E391" s="6"/>
      <c r="F391" s="163"/>
      <c r="G391" s="2" t="str">
        <f ca="1">CHOOSE(MID(F390,2,1),"the company’s profit margin indicates its revenues are unusually "&amp; H386 &amp; " relative to its costs","the company’s asset turnover indicates sales are unusually "&amp; H386 &amp;" relative to its assets","the company’s equity multiplier indicates the firm has an unusually " &amp; H386 &amp;" debt burden")</f>
        <v>the company’s equity multiplier indicates the firm has an unusually large debt burden</v>
      </c>
    </row>
    <row r="392" spans="2:8" ht="16" thickBot="1" x14ac:dyDescent="0.4"/>
    <row r="393" spans="2:8" ht="16.5" thickTop="1" thickBot="1" x14ac:dyDescent="0.4">
      <c r="B393" s="76" t="str">
        <f ca="1">[1]!std_ans($C$393)</f>
        <v>E</v>
      </c>
      <c r="C393" s="79" t="str">
        <f ca="1" xml:space="preserve"> "/\" &amp;RANDBETWEEN( 1,120) &amp; "/\" &amp; G387 &amp; "/\" &amp; G388 &amp; "/\" &amp; G389 &amp; "/\" &amp; G390 &amp; "/\" &amp; G391</f>
        <v>/\42/\the company’s profit margin indicates its revenues are unusually small relative to its costs/\the company’s equity multiplier indicates the firm has an unusually small debt burden/\the company’s asset turnover indicates sales are unusually small relative to its assets/\the company’s profit margin indicates its revenues are unusually large relative to its costs/\the company’s equity multiplier indicates the firm has an unusually large debt burden</v>
      </c>
      <c r="D393" s="80" t="s">
        <v>3039</v>
      </c>
    </row>
    <row r="394" spans="2:8" ht="16" thickTop="1" x14ac:dyDescent="0.35">
      <c r="B394" s="81" t="str">
        <f ca="1">[1]!simpleV_A($C$393)</f>
        <v>the company’s equity multiplier indicates the firm has an unusually small debt burden</v>
      </c>
      <c r="C394" s="82"/>
      <c r="D394" s="77"/>
    </row>
    <row r="395" spans="2:8" x14ac:dyDescent="0.35">
      <c r="B395" s="81" t="str">
        <f ca="1">[1]!simpleV_B($C$393)</f>
        <v>the company’s profit margin indicates its revenues are unusually large relative to its costs</v>
      </c>
      <c r="C395" s="82"/>
      <c r="D395" s="77"/>
    </row>
    <row r="396" spans="2:8" x14ac:dyDescent="0.35">
      <c r="B396" s="81" t="str">
        <f ca="1">[1]!simpleV_C($C$393)</f>
        <v>the company’s equity multiplier indicates the firm has an unusually large debt burden</v>
      </c>
      <c r="C396" s="82"/>
      <c r="D396" s="77"/>
    </row>
    <row r="397" spans="2:8" x14ac:dyDescent="0.35">
      <c r="B397" s="81" t="str">
        <f ca="1">[1]!simpleV_D($C$393)</f>
        <v>the company’s asset turnover indicates sales are unusually small relative to its assets</v>
      </c>
      <c r="C397" s="82"/>
      <c r="D397" s="77"/>
    </row>
    <row r="398" spans="2:8" ht="16" thickBot="1" x14ac:dyDescent="0.4">
      <c r="B398" s="83" t="str">
        <f ca="1">[1]!simpleV_E($C$393)</f>
        <v>the company’s profit margin indicates its revenues are unusually small relative to its costs</v>
      </c>
      <c r="C398" s="84"/>
      <c r="D398" s="78"/>
    </row>
    <row r="399" spans="2:8" ht="16" thickTop="1" x14ac:dyDescent="0.35"/>
    <row r="401" spans="1:15" x14ac:dyDescent="0.35">
      <c r="A401" s="120" t="s">
        <v>3384</v>
      </c>
    </row>
    <row r="402" spans="1:15" x14ac:dyDescent="0.35">
      <c r="A402" s="2">
        <f ca="1">RANDBETWEEN(23,80)/10</f>
        <v>3.8</v>
      </c>
      <c r="B402" s="2" t="s">
        <v>140</v>
      </c>
      <c r="E402" s="14">
        <f ca="1">A402*A403*(1/(1-A404))</f>
        <v>0.41799999999999998</v>
      </c>
      <c r="F402" s="2" t="s">
        <v>904</v>
      </c>
    </row>
    <row r="403" spans="1:15" x14ac:dyDescent="0.35">
      <c r="A403" s="14">
        <f ca="1">RANDBETWEEN(35,95)/1000</f>
        <v>4.3999999999999997E-2</v>
      </c>
      <c r="B403" s="2" t="s">
        <v>357</v>
      </c>
    </row>
    <row r="404" spans="1:15" x14ac:dyDescent="0.35">
      <c r="A404" s="12">
        <f ca="1">RANDBETWEEN(6,15)*5/100</f>
        <v>0.6</v>
      </c>
      <c r="B404" s="2" t="s">
        <v>1812</v>
      </c>
    </row>
    <row r="405" spans="1:15" ht="16" thickBot="1" x14ac:dyDescent="0.4"/>
    <row r="406" spans="1:15" ht="16.5" thickTop="1" thickBot="1" x14ac:dyDescent="0.4">
      <c r="B406" s="76" t="str">
        <f ca="1">[1]!std_ans($C$406)</f>
        <v>A</v>
      </c>
      <c r="C406" s="79" t="str">
        <f ca="1" xml:space="preserve"> "/\" &amp;RANDBETWEEN( 1,120) &amp; "/\" &amp;RANDBETWEEN( 1,120) &amp; "/\" &amp;0.1 &amp; "/\" &amp; E402</f>
        <v>/\22/\110/\0.1/\0.418</v>
      </c>
      <c r="D406" s="80" t="s">
        <v>3385</v>
      </c>
    </row>
    <row r="407" spans="1:15" ht="16" thickTop="1" x14ac:dyDescent="0.35">
      <c r="B407" s="112">
        <f ca="1">[1]!stdnum_A($C$406)</f>
        <v>0.41799999999999998</v>
      </c>
      <c r="C407" s="82"/>
      <c r="D407" s="77"/>
    </row>
    <row r="408" spans="1:15" x14ac:dyDescent="0.35">
      <c r="B408" s="112">
        <f ca="1">[1]!stdnum_B($C$406)</f>
        <v>0.3140495867768594</v>
      </c>
      <c r="C408" s="82"/>
      <c r="D408" s="77"/>
    </row>
    <row r="409" spans="1:15" x14ac:dyDescent="0.35">
      <c r="B409" s="112">
        <f ca="1">[1]!stdnum_C($C$406)</f>
        <v>0.28549962434259946</v>
      </c>
      <c r="C409" s="82"/>
      <c r="D409" s="77"/>
    </row>
    <row r="410" spans="1:15" x14ac:dyDescent="0.35">
      <c r="B410" s="112">
        <f ca="1">[1]!stdnum_D($C$406)</f>
        <v>0.37999999999999995</v>
      </c>
      <c r="C410" s="82"/>
      <c r="D410" s="77"/>
    </row>
    <row r="411" spans="1:15" ht="16" thickBot="1" x14ac:dyDescent="0.4">
      <c r="B411" s="113">
        <f ca="1">[1]!stdnum_E($C$406)</f>
        <v>0.3454545454545454</v>
      </c>
      <c r="C411" s="84"/>
      <c r="D411" s="78"/>
    </row>
    <row r="412" spans="1:15" ht="16" thickTop="1" x14ac:dyDescent="0.35"/>
    <row r="414" spans="1:15" x14ac:dyDescent="0.35">
      <c r="A414" s="88" t="s">
        <v>867</v>
      </c>
      <c r="L414" s="88" t="s">
        <v>868</v>
      </c>
    </row>
    <row r="415" spans="1:15" x14ac:dyDescent="0.35">
      <c r="B415" s="22" t="s">
        <v>3391</v>
      </c>
      <c r="M415" s="22" t="s">
        <v>3391</v>
      </c>
    </row>
    <row r="416" spans="1:15" x14ac:dyDescent="0.35">
      <c r="A416" s="8"/>
      <c r="C416" s="8">
        <f ca="1">C418-C417</f>
        <v>700</v>
      </c>
      <c r="D416" s="2" t="s">
        <v>2876</v>
      </c>
      <c r="L416" s="8"/>
      <c r="N416" s="8">
        <f ca="1">N418-N417</f>
        <v>1000</v>
      </c>
      <c r="O416" s="2" t="s">
        <v>2876</v>
      </c>
    </row>
    <row r="417" spans="1:26" x14ac:dyDescent="0.35">
      <c r="A417" s="98" t="s">
        <v>2481</v>
      </c>
      <c r="B417" s="11"/>
      <c r="C417" s="99">
        <f ca="1">ROUND(A418*RANDBETWEEN(80,95)/100,-2)</f>
        <v>3600</v>
      </c>
      <c r="D417" s="11" t="s">
        <v>3390</v>
      </c>
      <c r="L417" s="98" t="s">
        <v>2481</v>
      </c>
      <c r="M417" s="11"/>
      <c r="N417" s="99">
        <f ca="1">ROUND(L418*RANDBETWEEN(80,95)/100,-2)</f>
        <v>3800</v>
      </c>
      <c r="O417" s="11" t="s">
        <v>3390</v>
      </c>
    </row>
    <row r="418" spans="1:26" x14ac:dyDescent="0.35">
      <c r="A418" s="8">
        <f ca="1">RANDBETWEEN(30,50)*100</f>
        <v>4300</v>
      </c>
      <c r="B418" s="2" t="s">
        <v>2439</v>
      </c>
      <c r="C418" s="8">
        <f ca="1">A418</f>
        <v>4300</v>
      </c>
      <c r="L418" s="8">
        <f ca="1">RANDBETWEEN(30,50)*100</f>
        <v>4800</v>
      </c>
      <c r="M418" s="2" t="s">
        <v>2439</v>
      </c>
      <c r="N418" s="8">
        <f ca="1">L418</f>
        <v>4800</v>
      </c>
    </row>
    <row r="420" spans="1:26" x14ac:dyDescent="0.35">
      <c r="B420" s="100" t="s">
        <v>3826</v>
      </c>
      <c r="C420" s="100"/>
      <c r="D420" s="22" t="s">
        <v>1986</v>
      </c>
      <c r="H420" s="22" t="s">
        <v>1986</v>
      </c>
      <c r="I420" s="22"/>
      <c r="L420" s="22" t="s">
        <v>1987</v>
      </c>
      <c r="P420" s="22" t="s">
        <v>1987</v>
      </c>
      <c r="Q420" s="22"/>
      <c r="U420" s="24">
        <f ca="1">N418*RANDBETWEEN(40,90)/10</f>
        <v>32640</v>
      </c>
      <c r="V420" s="2" t="s">
        <v>3832</v>
      </c>
      <c r="Y420" s="24">
        <f ca="1">U421*U420</f>
        <v>3133.44</v>
      </c>
      <c r="Z420" s="2" t="s">
        <v>3831</v>
      </c>
    </row>
    <row r="421" spans="1:26" x14ac:dyDescent="0.35">
      <c r="A421" s="24">
        <f ca="1">A418*RANDBETWEEN(40,90)/10</f>
        <v>33110</v>
      </c>
      <c r="B421" s="2" t="s">
        <v>3832</v>
      </c>
      <c r="D421" s="24">
        <f ca="1">A422*A421</f>
        <v>4536.0700000000006</v>
      </c>
      <c r="E421" s="2" t="s">
        <v>3831</v>
      </c>
      <c r="H421" s="27">
        <f ca="1">ROUND(D425*A427,2)</f>
        <v>16.64</v>
      </c>
      <c r="I421" s="2" t="s">
        <v>2667</v>
      </c>
      <c r="L421" s="12">
        <f ca="1">RANDBETWEEN(12,25)/100</f>
        <v>0.18</v>
      </c>
      <c r="M421" s="2" t="s">
        <v>1988</v>
      </c>
      <c r="P421" s="27">
        <f ca="1">ROUND(L427*U426,2)</f>
        <v>36.869999999999997</v>
      </c>
      <c r="Q421" s="2" t="s">
        <v>1199</v>
      </c>
      <c r="U421" s="29">
        <f ca="1">RANDBETWEEN(70,150)/1000</f>
        <v>9.6000000000000002E-2</v>
      </c>
      <c r="V421" s="2" t="s">
        <v>357</v>
      </c>
      <c r="Y421" s="24">
        <f ca="1">Y420*U422</f>
        <v>940.03199999999993</v>
      </c>
      <c r="Z421" s="2" t="s">
        <v>3241</v>
      </c>
    </row>
    <row r="422" spans="1:26" x14ac:dyDescent="0.35">
      <c r="A422" s="29">
        <f ca="1">RANDBETWEEN(70,150)/1000</f>
        <v>0.13700000000000001</v>
      </c>
      <c r="B422" s="2" t="s">
        <v>357</v>
      </c>
      <c r="D422" s="24">
        <f ca="1">D421*A423</f>
        <v>1134.0175000000002</v>
      </c>
      <c r="E422" s="2" t="s">
        <v>3241</v>
      </c>
      <c r="H422" s="10">
        <f ca="1">H421*A425</f>
        <v>3660.8</v>
      </c>
      <c r="I422" s="2" t="s">
        <v>1944</v>
      </c>
      <c r="L422" s="24">
        <f ca="1">U420*(1+L421)</f>
        <v>38515.199999999997</v>
      </c>
      <c r="M422" s="2" t="s">
        <v>1707</v>
      </c>
      <c r="P422" s="10">
        <f ca="1">P421*U424</f>
        <v>4424.3999999999996</v>
      </c>
      <c r="Q422" s="2" t="s">
        <v>1944</v>
      </c>
      <c r="U422" s="32">
        <f ca="1">RANDBETWEEN(3,9)*5/100</f>
        <v>0.3</v>
      </c>
      <c r="V422" s="2" t="s">
        <v>2877</v>
      </c>
      <c r="Y422" s="10">
        <f ca="1">Y420-Y421</f>
        <v>2193.4080000000004</v>
      </c>
      <c r="Z422" s="2" t="s">
        <v>3280</v>
      </c>
    </row>
    <row r="423" spans="1:26" x14ac:dyDescent="0.35">
      <c r="A423" s="32">
        <f ca="1">RANDBETWEEN(3,9)*5/100</f>
        <v>0.25</v>
      </c>
      <c r="B423" s="2" t="s">
        <v>2877</v>
      </c>
      <c r="D423" s="10">
        <f ca="1">D421-D422</f>
        <v>3402.0525000000007</v>
      </c>
      <c r="E423" s="2" t="s">
        <v>3280</v>
      </c>
      <c r="H423" s="10">
        <f ca="1">D422*A425/A426</f>
        <v>341.75869863013702</v>
      </c>
      <c r="I423" s="2" t="s">
        <v>1945</v>
      </c>
      <c r="L423" s="24">
        <f ca="1">L422*U421</f>
        <v>3697.4591999999998</v>
      </c>
      <c r="M423" s="2" t="s">
        <v>1317</v>
      </c>
      <c r="P423" s="10">
        <f ca="1">L424*U424/U425</f>
        <v>341.30392615384613</v>
      </c>
      <c r="Q423" s="2" t="s">
        <v>1945</v>
      </c>
      <c r="U423" s="2">
        <f ca="1">ROUND(N417/RANDBETWEEN(7,14),-1)</f>
        <v>270</v>
      </c>
      <c r="V423" s="2" t="s">
        <v>1943</v>
      </c>
      <c r="Y423" s="24">
        <f ca="1">N417+U427+Y422</f>
        <v>7682.296888888889</v>
      </c>
      <c r="Z423" s="2" t="s">
        <v>3242</v>
      </c>
    </row>
    <row r="424" spans="1:26" x14ac:dyDescent="0.35">
      <c r="A424" s="2">
        <f ca="1">ROUND(C417/RANDBETWEEN(7,14),-1)</f>
        <v>510</v>
      </c>
      <c r="B424" s="2" t="s">
        <v>1943</v>
      </c>
      <c r="D424" s="24">
        <f ca="1">C417+A428+D423</f>
        <v>8554.993676470589</v>
      </c>
      <c r="E424" s="2" t="s">
        <v>3242</v>
      </c>
      <c r="H424" s="10">
        <f ca="1">H422+H423</f>
        <v>4002.5586986301373</v>
      </c>
      <c r="I424" s="2" t="s">
        <v>488</v>
      </c>
      <c r="L424" s="24">
        <f ca="1">L423*U422</f>
        <v>1109.23776</v>
      </c>
      <c r="M424" s="2" t="s">
        <v>1703</v>
      </c>
      <c r="P424" s="10">
        <f ca="1">P422+P423</f>
        <v>4765.7039261538457</v>
      </c>
      <c r="Q424" s="2" t="s">
        <v>488</v>
      </c>
      <c r="U424" s="3">
        <f ca="1">ROUND(U423*RANDBETWEEN(20,50)/100,-1)</f>
        <v>120</v>
      </c>
      <c r="V424" s="2" t="s">
        <v>358</v>
      </c>
    </row>
    <row r="425" spans="1:26" x14ac:dyDescent="0.35">
      <c r="A425" s="3">
        <f ca="1">ROUND(A424*RANDBETWEEN(20,50)/100,-1)</f>
        <v>220</v>
      </c>
      <c r="B425" s="2" t="s">
        <v>358</v>
      </c>
      <c r="D425" s="27">
        <f ca="1">D424/A426</f>
        <v>11.719169419822725</v>
      </c>
      <c r="E425" s="2" t="s">
        <v>2332</v>
      </c>
      <c r="H425" s="32">
        <f ca="1">H424/A428-1</f>
        <v>1.57740522260274</v>
      </c>
      <c r="I425" s="2" t="s">
        <v>1898</v>
      </c>
      <c r="L425" s="10">
        <f ca="1">L423-L424</f>
        <v>2588.2214399999998</v>
      </c>
      <c r="M425" s="2" t="s">
        <v>1704</v>
      </c>
      <c r="P425" s="32"/>
      <c r="U425" s="3">
        <f ca="1">U423+U424</f>
        <v>390</v>
      </c>
      <c r="V425" s="2" t="s">
        <v>1942</v>
      </c>
    </row>
    <row r="426" spans="1:26" x14ac:dyDescent="0.35">
      <c r="A426" s="3">
        <f ca="1">A424+A425</f>
        <v>730</v>
      </c>
      <c r="B426" s="2" t="s">
        <v>1942</v>
      </c>
      <c r="L426" s="24">
        <f ca="1">Y423+L425</f>
        <v>10270.518328888889</v>
      </c>
      <c r="M426" s="2" t="s">
        <v>1705</v>
      </c>
      <c r="U426" s="12">
        <f ca="1">ROUND(RANDBETWEEN(60,75)*5/250,2)</f>
        <v>1.4</v>
      </c>
      <c r="V426" s="2" t="s">
        <v>2576</v>
      </c>
    </row>
    <row r="427" spans="1:26" x14ac:dyDescent="0.35">
      <c r="A427" s="12">
        <f ca="1">ROUND(RANDBETWEEN(60,75)*5/250,2)</f>
        <v>1.42</v>
      </c>
      <c r="B427" s="2" t="s">
        <v>2576</v>
      </c>
      <c r="L427" s="27">
        <f ca="1">L426/U425</f>
        <v>26.334662381766382</v>
      </c>
      <c r="M427" s="2" t="s">
        <v>1706</v>
      </c>
      <c r="U427" s="10">
        <f ca="1">N417*U424/U423</f>
        <v>1688.8888888888889</v>
      </c>
      <c r="V427" s="2" t="s">
        <v>983</v>
      </c>
    </row>
    <row r="428" spans="1:26" x14ac:dyDescent="0.35">
      <c r="A428" s="10">
        <f ca="1">C417*A425/A424</f>
        <v>1552.9411764705883</v>
      </c>
      <c r="B428" s="2" t="s">
        <v>983</v>
      </c>
    </row>
    <row r="430" spans="1:26" ht="16" thickBot="1" x14ac:dyDescent="0.4">
      <c r="B430" s="88" t="s">
        <v>3386</v>
      </c>
      <c r="F430" s="120" t="s">
        <v>3388</v>
      </c>
      <c r="J430" s="120" t="s">
        <v>2175</v>
      </c>
    </row>
    <row r="431" spans="1:26" ht="16.5" thickTop="1" thickBot="1" x14ac:dyDescent="0.4">
      <c r="B431" s="76" t="str">
        <f ca="1">[1]!std_ans($C$431)</f>
        <v>E</v>
      </c>
      <c r="C431" s="79" t="str">
        <f ca="1" xml:space="preserve"> "/\" &amp;RANDBETWEEN( 1,120) &amp; "/\" &amp;RANDBETWEEN( 1,120) &amp; "/\" &amp;0.1 &amp; "/\" &amp; H424</f>
        <v>/\34/\31/\0.1/\4002.55869863014</v>
      </c>
      <c r="D431" s="80" t="s">
        <v>3387</v>
      </c>
      <c r="F431" s="76" t="str">
        <f ca="1">[1]!std_ans($G$431)</f>
        <v>D</v>
      </c>
      <c r="G431" s="79" t="str">
        <f ca="1" xml:space="preserve"> "/\" &amp;RANDBETWEEN( 1,120) &amp; "/\" &amp;RANDBETWEEN( 1,120) &amp; "/\" &amp;0.1 &amp; "/\" &amp; H421</f>
        <v>/\35/\32/\0.1/\16.64</v>
      </c>
      <c r="H431" s="80" t="s">
        <v>2174</v>
      </c>
      <c r="J431" s="76" t="str">
        <f ca="1">[1]!std_ans($K$431)</f>
        <v>E</v>
      </c>
      <c r="K431" s="79" t="str">
        <f ca="1" xml:space="preserve"> "/\" &amp;RANDBETWEEN( 1,120) &amp; "/\" &amp;RANDBETWEEN( 1,120) &amp; "/\" &amp;0.1 &amp; "/\" &amp; H425</f>
        <v>/\96/\109/\0.1/\1.57740522260274</v>
      </c>
      <c r="L431" s="80" t="s">
        <v>2176</v>
      </c>
    </row>
    <row r="432" spans="1:26" ht="16" thickTop="1" x14ac:dyDescent="0.35">
      <c r="B432" s="110">
        <f ca="1">[1]!stdnum_A($C$431)</f>
        <v>4402.8145684931542</v>
      </c>
      <c r="C432" s="82"/>
      <c r="D432" s="77"/>
      <c r="F432" s="129">
        <f ca="1">[1]!stdnum_A($G$431)</f>
        <v>18.304000000000002</v>
      </c>
      <c r="G432" s="82"/>
      <c r="H432" s="77"/>
      <c r="J432" s="145">
        <f ca="1">[1]!stdnum_A($K$431)</f>
        <v>1.1851278907608862</v>
      </c>
      <c r="K432" s="82"/>
      <c r="L432" s="77"/>
    </row>
    <row r="433" spans="1:12" x14ac:dyDescent="0.35">
      <c r="B433" s="110">
        <f ca="1">[1]!stdnum_B($C$431)</f>
        <v>3638.6897260274</v>
      </c>
      <c r="C433" s="82"/>
      <c r="D433" s="77"/>
      <c r="F433" s="129">
        <f ca="1">[1]!stdnum_B($G$431)</f>
        <v>15.127272727272727</v>
      </c>
      <c r="G433" s="82"/>
      <c r="H433" s="77"/>
      <c r="J433" s="145">
        <f ca="1">[1]!stdnum_B($K$431)</f>
        <v>1.4340047478206726</v>
      </c>
      <c r="K433" s="82"/>
      <c r="L433" s="77"/>
    </row>
    <row r="434" spans="1:12" x14ac:dyDescent="0.35">
      <c r="B434" s="110">
        <f ca="1">[1]!stdnum_C($C$431)</f>
        <v>4843.0960253424701</v>
      </c>
      <c r="C434" s="82"/>
      <c r="D434" s="77"/>
      <c r="F434" s="129">
        <f ca="1">[1]!stdnum_C($G$431)</f>
        <v>20.134400000000003</v>
      </c>
      <c r="G434" s="82"/>
      <c r="H434" s="77"/>
      <c r="J434" s="145">
        <f ca="1">[1]!stdnum_C($K$431)</f>
        <v>1.0773889916008057</v>
      </c>
      <c r="K434" s="82"/>
      <c r="L434" s="77"/>
    </row>
    <row r="435" spans="1:12" x14ac:dyDescent="0.35">
      <c r="B435" s="110">
        <f ca="1">[1]!stdnum_D($C$431)</f>
        <v>5327.4056278767184</v>
      </c>
      <c r="C435" s="82"/>
      <c r="D435" s="77"/>
      <c r="F435" s="129">
        <f ca="1">[1]!stdnum_D($G$431)</f>
        <v>16.64</v>
      </c>
      <c r="G435" s="82"/>
      <c r="H435" s="77"/>
      <c r="J435" s="145">
        <f ca="1">[1]!stdnum_D($K$431)</f>
        <v>1.3036406798369751</v>
      </c>
      <c r="K435" s="82"/>
      <c r="L435" s="77"/>
    </row>
    <row r="436" spans="1:12" ht="16" thickBot="1" x14ac:dyDescent="0.4">
      <c r="B436" s="111">
        <f ca="1">[1]!stdnum_E($C$431)</f>
        <v>4002.55869863014</v>
      </c>
      <c r="C436" s="84"/>
      <c r="D436" s="78"/>
      <c r="F436" s="130">
        <f ca="1">[1]!stdnum_E($G$431)</f>
        <v>22.147840000000006</v>
      </c>
      <c r="G436" s="84"/>
      <c r="H436" s="78"/>
      <c r="J436" s="146">
        <f ca="1">[1]!stdnum_E($K$431)</f>
        <v>1.57740522260274</v>
      </c>
      <c r="K436" s="84"/>
      <c r="L436" s="78"/>
    </row>
    <row r="437" spans="1:12" ht="16" thickTop="1" x14ac:dyDescent="0.35"/>
    <row r="438" spans="1:12" ht="18.5" thickBot="1" x14ac:dyDescent="0.4">
      <c r="B438" s="120" t="s">
        <v>777</v>
      </c>
      <c r="F438" s="88" t="s">
        <v>3529</v>
      </c>
    </row>
    <row r="439" spans="1:12" ht="16.5" thickTop="1" thickBot="1" x14ac:dyDescent="0.4">
      <c r="B439" s="76" t="str">
        <f ca="1">[1]!std_ans($C$439)</f>
        <v>E</v>
      </c>
      <c r="C439" s="79" t="str">
        <f ca="1" xml:space="preserve"> "/\" &amp;RANDBETWEEN( 1,120) &amp; "/\" &amp;RANDBETWEEN( 1,120) &amp; "/\" &amp;0.1 &amp; "/\" &amp; P424</f>
        <v>/\42/\101/\0.1/\4765.70392615385</v>
      </c>
      <c r="D439" s="80" t="s">
        <v>778</v>
      </c>
      <c r="F439" s="76" t="str">
        <f ca="1">[1]!std_ans($G$439)</f>
        <v>B</v>
      </c>
      <c r="G439" s="79" t="str">
        <f ca="1" xml:space="preserve"> "/\" &amp;RANDBETWEEN( 1,120) &amp; "/\" &amp;RANDBETWEEN( 1,120) &amp; "/\" &amp;0.1 &amp; "/\" &amp; P421</f>
        <v>/\74/\57/\0.1/\36.87</v>
      </c>
      <c r="H439" s="80" t="s">
        <v>3530</v>
      </c>
    </row>
    <row r="440" spans="1:12" ht="16" thickTop="1" x14ac:dyDescent="0.35">
      <c r="B440" s="110">
        <f ca="1">[1]!stdnum_A($C$439)</f>
        <v>3255.0399058492239</v>
      </c>
      <c r="C440" s="82"/>
      <c r="D440" s="77"/>
      <c r="F440" s="129">
        <f ca="1">[1]!stdnum_A($G$439)</f>
        <v>30.471074380165284</v>
      </c>
      <c r="G440" s="82"/>
      <c r="H440" s="77"/>
    </row>
    <row r="441" spans="1:12" x14ac:dyDescent="0.35">
      <c r="B441" s="110">
        <f ca="1">[1]!stdnum_B($C$439)</f>
        <v>3580.5438964341465</v>
      </c>
      <c r="C441" s="82"/>
      <c r="D441" s="77"/>
      <c r="F441" s="129">
        <f ca="1">[1]!stdnum_B($G$439)</f>
        <v>36.869999999999997</v>
      </c>
      <c r="G441" s="82"/>
      <c r="H441" s="77"/>
    </row>
    <row r="442" spans="1:12" x14ac:dyDescent="0.35">
      <c r="B442" s="110">
        <f ca="1">[1]!stdnum_C($C$439)</f>
        <v>3938.5982860775616</v>
      </c>
      <c r="C442" s="82"/>
      <c r="D442" s="77"/>
      <c r="F442" s="129">
        <f ca="1">[1]!stdnum_C($G$439)</f>
        <v>33.518181818181816</v>
      </c>
      <c r="G442" s="82"/>
      <c r="H442" s="77"/>
    </row>
    <row r="443" spans="1:12" x14ac:dyDescent="0.35">
      <c r="B443" s="110">
        <f ca="1">[1]!stdnum_D($C$439)</f>
        <v>4332.4581146853179</v>
      </c>
      <c r="C443" s="82"/>
      <c r="D443" s="77"/>
      <c r="F443" s="129">
        <f ca="1">[1]!stdnum_D($G$439)</f>
        <v>44.612700000000004</v>
      </c>
      <c r="G443" s="82"/>
      <c r="H443" s="77"/>
    </row>
    <row r="444" spans="1:12" ht="16" thickBot="1" x14ac:dyDescent="0.4">
      <c r="B444" s="111">
        <f ca="1">[1]!stdnum_E($C$439)</f>
        <v>4765.7039261538503</v>
      </c>
      <c r="C444" s="84"/>
      <c r="D444" s="78"/>
      <c r="F444" s="130">
        <f ca="1">[1]!stdnum_E($G$439)</f>
        <v>40.557000000000002</v>
      </c>
      <c r="G444" s="84"/>
      <c r="H444" s="78"/>
    </row>
    <row r="445" spans="1:12" ht="16" thickTop="1" x14ac:dyDescent="0.35"/>
    <row r="447" spans="1:12" x14ac:dyDescent="0.35">
      <c r="A447" s="88" t="s">
        <v>3532</v>
      </c>
    </row>
    <row r="448" spans="1:12" x14ac:dyDescent="0.35">
      <c r="A448" s="22" t="s">
        <v>2976</v>
      </c>
    </row>
    <row r="449" spans="1:6" x14ac:dyDescent="0.35">
      <c r="A449" s="8">
        <f ca="1">RANDBETWEEN(25,50)*10000</f>
        <v>270000</v>
      </c>
      <c r="B449" s="28" t="s">
        <v>2862</v>
      </c>
      <c r="E449" s="2" t="s">
        <v>3531</v>
      </c>
      <c r="F449" s="10">
        <f ca="1">A451+A456</f>
        <v>84829.68</v>
      </c>
    </row>
    <row r="450" spans="1:6" x14ac:dyDescent="0.35">
      <c r="A450" s="10">
        <f ca="1">A449*RANDBETWEEN(50,75)/100</f>
        <v>140400</v>
      </c>
      <c r="B450" s="2" t="s">
        <v>2975</v>
      </c>
    </row>
    <row r="451" spans="1:6" x14ac:dyDescent="0.35">
      <c r="A451" s="166">
        <f ca="1">A449*RANDBETWEEN(10,15)/100</f>
        <v>32400</v>
      </c>
      <c r="B451" s="2" t="s">
        <v>2068</v>
      </c>
    </row>
    <row r="452" spans="1:6" x14ac:dyDescent="0.35">
      <c r="A452" s="10">
        <f ca="1">A449-A450-A451</f>
        <v>97200</v>
      </c>
      <c r="B452" s="2" t="s">
        <v>2977</v>
      </c>
    </row>
    <row r="453" spans="1:6" x14ac:dyDescent="0.35">
      <c r="A453" s="166">
        <f ca="1">A452*RANDBETWEEN(5,20)/100</f>
        <v>12636</v>
      </c>
      <c r="B453" s="2" t="s">
        <v>2069</v>
      </c>
    </row>
    <row r="454" spans="1:6" x14ac:dyDescent="0.35">
      <c r="A454" s="10">
        <f ca="1">A452-A453</f>
        <v>84564</v>
      </c>
      <c r="B454" s="2" t="s">
        <v>2070</v>
      </c>
    </row>
    <row r="455" spans="1:6" x14ac:dyDescent="0.35">
      <c r="A455" s="166">
        <f ca="1">A454*RANDBETWEEN(30,40)/100</f>
        <v>32134.32</v>
      </c>
      <c r="B455" s="2" t="s">
        <v>2071</v>
      </c>
    </row>
    <row r="456" spans="1:6" x14ac:dyDescent="0.35">
      <c r="A456" s="10">
        <f ca="1">A454-A455</f>
        <v>52429.68</v>
      </c>
      <c r="B456" s="2" t="s">
        <v>2072</v>
      </c>
    </row>
    <row r="457" spans="1:6" x14ac:dyDescent="0.35">
      <c r="A457" s="166">
        <f ca="1">A456*RANDBETWEEN(30,60)/100</f>
        <v>20971.872000000003</v>
      </c>
      <c r="B457" s="2" t="s">
        <v>2073</v>
      </c>
    </row>
    <row r="458" spans="1:6" x14ac:dyDescent="0.35">
      <c r="A458" s="10">
        <f ca="1">A456-A457</f>
        <v>31457.807999999997</v>
      </c>
      <c r="B458" s="2" t="s">
        <v>1608</v>
      </c>
    </row>
    <row r="459" spans="1:6" ht="16" thickBot="1" x14ac:dyDescent="0.4"/>
    <row r="460" spans="1:6" ht="16.5" thickTop="1" thickBot="1" x14ac:dyDescent="0.4">
      <c r="B460" s="76" t="str">
        <f ca="1">[1]!std_ans($C$460)</f>
        <v>B</v>
      </c>
      <c r="C460" s="79" t="str">
        <f ca="1" xml:space="preserve"> "/\" &amp;RANDBETWEEN( 1,120) &amp; "/\" &amp;RANDBETWEEN( 1,120) &amp; "/\" &amp;0.1 &amp; "/\" &amp; F449</f>
        <v>/\26/\101/\0.1/\84829.68</v>
      </c>
      <c r="D460" s="80" t="s">
        <v>3533</v>
      </c>
    </row>
    <row r="461" spans="1:6" ht="16" thickTop="1" x14ac:dyDescent="0.35">
      <c r="B461" s="110">
        <f ca="1">[1]!stdnum_A($C$460)</f>
        <v>57939.812854313212</v>
      </c>
      <c r="C461" s="82"/>
      <c r="D461" s="77"/>
    </row>
    <row r="462" spans="1:6" x14ac:dyDescent="0.35">
      <c r="B462" s="110">
        <f ca="1">[1]!stdnum_B($C$460)</f>
        <v>84829.68</v>
      </c>
      <c r="C462" s="82"/>
      <c r="D462" s="77"/>
    </row>
    <row r="463" spans="1:6" x14ac:dyDescent="0.35">
      <c r="B463" s="110">
        <f ca="1">[1]!stdnum_C($C$460)</f>
        <v>77117.8909090909</v>
      </c>
      <c r="C463" s="82"/>
      <c r="D463" s="77"/>
    </row>
    <row r="464" spans="1:6" x14ac:dyDescent="0.35">
      <c r="B464" s="110">
        <f ca="1">[1]!stdnum_D($C$460)</f>
        <v>70107.173553718996</v>
      </c>
      <c r="C464" s="82"/>
      <c r="D464" s="77"/>
    </row>
    <row r="465" spans="1:6" ht="16" thickBot="1" x14ac:dyDescent="0.4">
      <c r="B465" s="111">
        <f ca="1">[1]!stdnum_E($C$460)</f>
        <v>63733.794139744532</v>
      </c>
      <c r="C465" s="84"/>
      <c r="D465" s="78"/>
    </row>
    <row r="466" spans="1:6" ht="16" thickTop="1" x14ac:dyDescent="0.35"/>
    <row r="468" spans="1:6" x14ac:dyDescent="0.35">
      <c r="A468" s="88" t="s">
        <v>816</v>
      </c>
    </row>
    <row r="469" spans="1:6" x14ac:dyDescent="0.35">
      <c r="A469" s="8">
        <f ca="1">RANDBETWEEN(25,50)*100</f>
        <v>4700</v>
      </c>
      <c r="B469" s="28" t="s">
        <v>2689</v>
      </c>
      <c r="E469" s="8">
        <f ca="1">A471*A472*(1-A473)</f>
        <v>509.95</v>
      </c>
      <c r="F469" s="2" t="s">
        <v>2864</v>
      </c>
    </row>
    <row r="470" spans="1:6" x14ac:dyDescent="0.35">
      <c r="A470" s="28">
        <f ca="1">RANDBETWEEN(10,25)*10</f>
        <v>200</v>
      </c>
      <c r="B470" s="28" t="s">
        <v>2673</v>
      </c>
    </row>
    <row r="471" spans="1:6" x14ac:dyDescent="0.35">
      <c r="A471" s="8">
        <f ca="1">ROUND(A469*RANDBETWEEN(30,50)/10,0)</f>
        <v>16450</v>
      </c>
      <c r="B471" s="28" t="s">
        <v>2862</v>
      </c>
    </row>
    <row r="472" spans="1:6" x14ac:dyDescent="0.35">
      <c r="A472" s="29">
        <f ca="1">RANDBETWEEN(45,80)/1000</f>
        <v>6.2E-2</v>
      </c>
      <c r="B472" s="28" t="s">
        <v>357</v>
      </c>
    </row>
    <row r="473" spans="1:6" x14ac:dyDescent="0.35">
      <c r="A473" s="12">
        <f ca="1">0.05*RANDBETWEEN(6,12)</f>
        <v>0.5</v>
      </c>
      <c r="B473" s="28" t="s">
        <v>2877</v>
      </c>
    </row>
    <row r="474" spans="1:6" x14ac:dyDescent="0.35">
      <c r="A474" s="30">
        <f ca="1">IF(RANDBETWEEN(0,1)=0,RANDBETWEEN(60,80)/100,RANDBETWEEN(120,140)/100)</f>
        <v>1.29</v>
      </c>
      <c r="B474" s="28" t="s">
        <v>2674</v>
      </c>
    </row>
    <row r="475" spans="1:6" x14ac:dyDescent="0.35">
      <c r="A475" s="30">
        <f ca="1">ROUND((1+3*A474)/4,2)</f>
        <v>1.22</v>
      </c>
      <c r="B475" s="28" t="s">
        <v>3444</v>
      </c>
    </row>
    <row r="476" spans="1:6" x14ac:dyDescent="0.35">
      <c r="A476" s="31">
        <f ca="1">ROUND(A474*A469/A470,2)</f>
        <v>30.32</v>
      </c>
      <c r="B476" s="28" t="s">
        <v>2110</v>
      </c>
    </row>
    <row r="477" spans="1:6" x14ac:dyDescent="0.35">
      <c r="A477" s="28">
        <f ca="1">ROUND(A471*A472*A473/A470,2)</f>
        <v>2.5499999999999998</v>
      </c>
      <c r="B477" s="28" t="s">
        <v>3148</v>
      </c>
    </row>
    <row r="478" spans="1:6" x14ac:dyDescent="0.35">
      <c r="A478" s="31">
        <f ca="1">ROUND(A475*(A469+A471*A472*(1-A473))/A470,2)</f>
        <v>31.78</v>
      </c>
      <c r="B478" s="28" t="s">
        <v>608</v>
      </c>
    </row>
    <row r="479" spans="1:6" x14ac:dyDescent="0.35">
      <c r="A479" s="14">
        <f ca="1">IF(ABS((A478+A477)/A476-1)&lt;0.08,"RECALCULATE",(A478+A477)/A476-1)</f>
        <v>0.13225593667546165</v>
      </c>
      <c r="B479" s="28" t="s">
        <v>607</v>
      </c>
    </row>
    <row r="481" spans="1:8" ht="16" thickBot="1" x14ac:dyDescent="0.4">
      <c r="B481" s="120" t="s">
        <v>814</v>
      </c>
      <c r="F481" s="120" t="s">
        <v>815</v>
      </c>
    </row>
    <row r="482" spans="1:8" ht="16.5" thickTop="1" thickBot="1" x14ac:dyDescent="0.4">
      <c r="B482" s="76" t="str">
        <f ca="1">[1]!std_ans($C$482)</f>
        <v>C</v>
      </c>
      <c r="C482" s="79" t="str">
        <f ca="1" xml:space="preserve"> "/\" &amp;RANDBETWEEN( 1,120) &amp; "/\" &amp;RANDBETWEEN( 1,120) &amp; "/\" &amp;0.1 &amp; "/\" &amp; A478</f>
        <v>/\62/\23/\0.1/\31.78</v>
      </c>
      <c r="D482" s="80" t="s">
        <v>3534</v>
      </c>
      <c r="F482" s="76" t="str">
        <f ca="1">[1]!std_ans($G$482)</f>
        <v>E</v>
      </c>
      <c r="G482" s="79" t="str">
        <f ca="1" xml:space="preserve"> "/\" &amp;RANDBETWEEN( 1,120) &amp; "/\" &amp;RANDBETWEEN( 1,120) &amp; "/\" &amp;0.1 &amp; "/\" &amp; A479</f>
        <v>/\94/\77/\0.1/\0.132255936675462</v>
      </c>
      <c r="H482" s="80" t="s">
        <v>3535</v>
      </c>
    </row>
    <row r="483" spans="1:8" ht="16" thickTop="1" x14ac:dyDescent="0.35">
      <c r="B483" s="129">
        <f ca="1">[1]!stdnum_A($C$482)</f>
        <v>42.299180000000014</v>
      </c>
      <c r="C483" s="82"/>
      <c r="D483" s="77"/>
      <c r="F483" s="112">
        <f ca="1">[1]!stdnum_A($G$482)</f>
        <v>0.10930242700451405</v>
      </c>
      <c r="G483" s="82"/>
      <c r="H483" s="77"/>
    </row>
    <row r="484" spans="1:8" x14ac:dyDescent="0.35">
      <c r="B484" s="129">
        <f ca="1">[1]!stdnum_B($C$482)</f>
        <v>34.958000000000006</v>
      </c>
      <c r="C484" s="82"/>
      <c r="D484" s="77"/>
      <c r="F484" s="112">
        <f ca="1">[1]!stdnum_B($G$482)</f>
        <v>0.12023266970496546</v>
      </c>
      <c r="G484" s="82"/>
      <c r="H484" s="77"/>
    </row>
    <row r="485" spans="1:8" x14ac:dyDescent="0.35">
      <c r="B485" s="129">
        <f ca="1">[1]!stdnum_C($C$482)</f>
        <v>31.78</v>
      </c>
      <c r="C485" s="82"/>
      <c r="D485" s="77"/>
      <c r="F485" s="112">
        <f ca="1">[1]!stdnum_C($G$482)</f>
        <v>9.9365842731376386E-2</v>
      </c>
      <c r="G485" s="82"/>
      <c r="H485" s="77"/>
    </row>
    <row r="486" spans="1:8" x14ac:dyDescent="0.35">
      <c r="B486" s="129">
        <f ca="1">[1]!stdnum_D($C$482)</f>
        <v>38.453800000000008</v>
      </c>
      <c r="C486" s="82"/>
      <c r="D486" s="77"/>
      <c r="F486" s="112">
        <f ca="1">[1]!stdnum_D($G$482)</f>
        <v>0.14548153034300823</v>
      </c>
      <c r="G486" s="82"/>
      <c r="H486" s="77"/>
    </row>
    <row r="487" spans="1:8" ht="16" thickBot="1" x14ac:dyDescent="0.4">
      <c r="B487" s="130">
        <f ca="1">[1]!stdnum_E($C$482)</f>
        <v>46.529098000000012</v>
      </c>
      <c r="C487" s="84"/>
      <c r="D487" s="78"/>
      <c r="F487" s="113">
        <f ca="1">[1]!stdnum_E($G$482)</f>
        <v>0.13225593667546201</v>
      </c>
      <c r="G487" s="84"/>
      <c r="H487" s="78"/>
    </row>
    <row r="488" spans="1:8" ht="16" thickTop="1" x14ac:dyDescent="0.35"/>
    <row r="490" spans="1:8" ht="18" x14ac:dyDescent="0.35">
      <c r="A490" s="120" t="s">
        <v>3536</v>
      </c>
    </row>
    <row r="491" spans="1:8" x14ac:dyDescent="0.35">
      <c r="B491" s="22" t="s">
        <v>3391</v>
      </c>
      <c r="F491" s="22" t="s">
        <v>3393</v>
      </c>
    </row>
    <row r="492" spans="1:8" x14ac:dyDescent="0.35">
      <c r="A492" s="8">
        <f ca="1">RANDBETWEEN(20,40)*15</f>
        <v>315</v>
      </c>
      <c r="B492" s="2" t="s">
        <v>729</v>
      </c>
      <c r="C492" s="8"/>
      <c r="F492" s="4" t="s">
        <v>2862</v>
      </c>
      <c r="G492" s="8">
        <f ca="1">ROUND(A494*RANDBETWEEN(30,60)/10,-2)</f>
        <v>11200</v>
      </c>
    </row>
    <row r="493" spans="1:8" x14ac:dyDescent="0.35">
      <c r="A493" s="99">
        <f ca="1">RANDBETWEEN(15,40)*100</f>
        <v>2700</v>
      </c>
      <c r="B493" s="11" t="s">
        <v>2575</v>
      </c>
      <c r="C493" s="99"/>
      <c r="D493" s="11"/>
      <c r="F493" s="4" t="s">
        <v>3392</v>
      </c>
      <c r="G493" s="8">
        <f ca="1">G492-G494</f>
        <v>10800</v>
      </c>
    </row>
    <row r="494" spans="1:8" x14ac:dyDescent="0.35">
      <c r="A494" s="8">
        <f ca="1">A492+A493</f>
        <v>3015</v>
      </c>
      <c r="B494" s="2" t="s">
        <v>2439</v>
      </c>
      <c r="C494" s="8"/>
      <c r="F494" s="4" t="s">
        <v>2072</v>
      </c>
      <c r="G494" s="8">
        <f ca="1">ROUND(A494*RANDBETWEEN(100,300)/1000,-2)</f>
        <v>400</v>
      </c>
    </row>
    <row r="495" spans="1:8" x14ac:dyDescent="0.35">
      <c r="F495" s="4" t="s">
        <v>2073</v>
      </c>
      <c r="G495" s="8">
        <f ca="1">ROUND(G494*RANDBETWEEN(30,70)/100,-1)</f>
        <v>250</v>
      </c>
    </row>
    <row r="496" spans="1:8" x14ac:dyDescent="0.35">
      <c r="F496" s="4" t="s">
        <v>1608</v>
      </c>
      <c r="G496" s="165">
        <f ca="1">G494-G495</f>
        <v>150</v>
      </c>
    </row>
    <row r="498" spans="1:7" x14ac:dyDescent="0.35">
      <c r="A498" s="407" t="s">
        <v>179</v>
      </c>
      <c r="B498" s="407"/>
      <c r="C498" s="407"/>
      <c r="E498" s="22"/>
    </row>
    <row r="499" spans="1:7" x14ac:dyDescent="0.35">
      <c r="A499" s="29">
        <f ca="1">G496/(A494-G496)</f>
        <v>5.2356020942408377E-2</v>
      </c>
      <c r="B499" s="2" t="s">
        <v>3394</v>
      </c>
      <c r="E499" s="13"/>
    </row>
    <row r="500" spans="1:7" x14ac:dyDescent="0.35">
      <c r="A500" s="8">
        <f ca="1">A494*(1+A499)</f>
        <v>3172.853403141361</v>
      </c>
      <c r="B500" s="2" t="s">
        <v>177</v>
      </c>
      <c r="E500" s="27"/>
    </row>
    <row r="501" spans="1:7" ht="16" thickBot="1" x14ac:dyDescent="0.4"/>
    <row r="502" spans="1:7" ht="16.5" thickTop="1" thickBot="1" x14ac:dyDescent="0.4">
      <c r="B502" s="76" t="str">
        <f ca="1">[1]!std_ans($C$502)</f>
        <v>C</v>
      </c>
      <c r="C502" s="79" t="str">
        <f ca="1" xml:space="preserve"> "/\" &amp;RANDBETWEEN( 1,120) &amp; "/\" &amp;RANDBETWEEN( 1,120) &amp; "/\" &amp;0.1 &amp; "/\" &amp; A500</f>
        <v>/\85/\24/\0.1/\3172.85340314136</v>
      </c>
      <c r="D502" s="80" t="s">
        <v>3537</v>
      </c>
    </row>
    <row r="503" spans="1:7" ht="16" thickTop="1" x14ac:dyDescent="0.35">
      <c r="B503" s="110">
        <f ca="1">[1]!stdnum_A($C$502)</f>
        <v>3839.1526178010463</v>
      </c>
      <c r="C503" s="82"/>
      <c r="D503" s="77"/>
    </row>
    <row r="504" spans="1:7" x14ac:dyDescent="0.35">
      <c r="B504" s="110">
        <f ca="1">[1]!stdnum_B($C$502)</f>
        <v>4223.0678795811518</v>
      </c>
      <c r="C504" s="82"/>
      <c r="D504" s="77"/>
    </row>
    <row r="505" spans="1:7" x14ac:dyDescent="0.35">
      <c r="B505" s="110">
        <f ca="1">[1]!stdnum_C($C$502)</f>
        <v>3172.8534031413601</v>
      </c>
      <c r="C505" s="82"/>
      <c r="D505" s="77"/>
    </row>
    <row r="506" spans="1:7" x14ac:dyDescent="0.35">
      <c r="B506" s="110">
        <f ca="1">[1]!stdnum_D($C$502)</f>
        <v>4645.3746675392667</v>
      </c>
      <c r="C506" s="82"/>
      <c r="D506" s="77"/>
    </row>
    <row r="507" spans="1:7" ht="16" thickBot="1" x14ac:dyDescent="0.4">
      <c r="B507" s="111">
        <f ca="1">[1]!stdnum_E($C$502)</f>
        <v>3490.1387434554963</v>
      </c>
      <c r="C507" s="84"/>
      <c r="D507" s="78"/>
    </row>
    <row r="508" spans="1:7" ht="16" thickTop="1" x14ac:dyDescent="0.35"/>
    <row r="510" spans="1:7" x14ac:dyDescent="0.35">
      <c r="A510" s="2" t="s">
        <v>2931</v>
      </c>
    </row>
    <row r="511" spans="1:7" x14ac:dyDescent="0.35">
      <c r="B511" s="22" t="s">
        <v>3391</v>
      </c>
      <c r="F511" s="22" t="s">
        <v>3393</v>
      </c>
    </row>
    <row r="512" spans="1:7" x14ac:dyDescent="0.35">
      <c r="A512" s="8">
        <f ca="1">RANDBETWEEN(20,40)*15</f>
        <v>420</v>
      </c>
      <c r="B512" s="2" t="s">
        <v>729</v>
      </c>
      <c r="C512" s="8">
        <f ca="1">C514-C513</f>
        <v>620</v>
      </c>
      <c r="D512" s="2" t="s">
        <v>2876</v>
      </c>
      <c r="F512" s="6" t="s">
        <v>2862</v>
      </c>
      <c r="G512" s="8">
        <f ca="1">ROUND(A514*RANDBETWEEN(30,60)/10,-2)</f>
        <v>13100</v>
      </c>
    </row>
    <row r="513" spans="1:10" x14ac:dyDescent="0.35">
      <c r="A513" s="99">
        <f ca="1">RANDBETWEEN(15,40)*100</f>
        <v>2700</v>
      </c>
      <c r="B513" s="11" t="s">
        <v>2575</v>
      </c>
      <c r="C513" s="99">
        <f ca="1">ROUND(A514*RANDBETWEEN(50,80)/100,-2)</f>
        <v>2500</v>
      </c>
      <c r="D513" s="11" t="s">
        <v>3390</v>
      </c>
      <c r="F513" s="6" t="s">
        <v>3392</v>
      </c>
      <c r="G513" s="8">
        <f ca="1">G512-G514</f>
        <v>12600</v>
      </c>
    </row>
    <row r="514" spans="1:10" x14ac:dyDescent="0.35">
      <c r="A514" s="8">
        <f ca="1">A512+A513</f>
        <v>3120</v>
      </c>
      <c r="B514" s="2" t="s">
        <v>2439</v>
      </c>
      <c r="C514" s="8">
        <f ca="1">A514</f>
        <v>3120</v>
      </c>
      <c r="F514" s="6" t="s">
        <v>2072</v>
      </c>
      <c r="G514" s="8">
        <f ca="1">ROUND(C514*RANDBETWEEN(100,300)/1000,-2)</f>
        <v>500</v>
      </c>
    </row>
    <row r="515" spans="1:10" x14ac:dyDescent="0.35">
      <c r="F515" s="6" t="s">
        <v>2073</v>
      </c>
      <c r="G515" s="8">
        <f ca="1">ROUND(G514*RANDBETWEEN(30,70)/100,-1)</f>
        <v>240</v>
      </c>
    </row>
    <row r="516" spans="1:10" x14ac:dyDescent="0.35">
      <c r="F516" s="6" t="s">
        <v>1608</v>
      </c>
      <c r="G516" s="165">
        <f ca="1">G514-G515</f>
        <v>260</v>
      </c>
    </row>
    <row r="518" spans="1:10" x14ac:dyDescent="0.35">
      <c r="A518" s="407" t="s">
        <v>179</v>
      </c>
      <c r="B518" s="407"/>
      <c r="C518" s="407"/>
      <c r="E518" s="22" t="s">
        <v>2763</v>
      </c>
      <c r="H518" s="22" t="s">
        <v>692</v>
      </c>
    </row>
    <row r="519" spans="1:10" x14ac:dyDescent="0.35">
      <c r="A519" s="29">
        <f ca="1">G516/(A514-G516)</f>
        <v>9.0909090909090912E-2</v>
      </c>
      <c r="B519" s="2" t="s">
        <v>3394</v>
      </c>
      <c r="E519" s="13">
        <f ca="1">ROUND(G515*(1+A519)/A522,2)</f>
        <v>2.0099999999999998</v>
      </c>
      <c r="F519" s="2" t="s">
        <v>2764</v>
      </c>
      <c r="H519" s="27">
        <f ca="1">ROUND(G515*(1+A520)/A522,2)</f>
        <v>2.06</v>
      </c>
      <c r="I519" s="2" t="s">
        <v>2764</v>
      </c>
    </row>
    <row r="520" spans="1:10" x14ac:dyDescent="0.35">
      <c r="A520" s="29">
        <f ca="1">G516*(1+C512/C513)/(A514-G516*(1+C512/C513))</f>
        <v>0.11607142857142858</v>
      </c>
      <c r="B520" s="2" t="s">
        <v>1609</v>
      </c>
      <c r="E520" s="27">
        <f ca="1">ROUND(A521*(1+A519)*G514/A522,2)</f>
        <v>85.17</v>
      </c>
      <c r="F520" s="2" t="s">
        <v>183</v>
      </c>
      <c r="H520" s="27">
        <f ca="1">ROUND(A521*(1+A520)*G514/A522,2)</f>
        <v>87.14</v>
      </c>
      <c r="I520" s="2" t="s">
        <v>183</v>
      </c>
    </row>
    <row r="521" spans="1:10" x14ac:dyDescent="0.35">
      <c r="A521" s="35">
        <f ca="1">RANDBETWEEN(120,300)/10</f>
        <v>20.3</v>
      </c>
      <c r="B521" s="2" t="s">
        <v>176</v>
      </c>
      <c r="E521" s="29">
        <f ca="1">(E520+E519)/A523-1</f>
        <v>0.11659113300492607</v>
      </c>
      <c r="F521" s="2" t="s">
        <v>2438</v>
      </c>
      <c r="H521" s="29">
        <f ca="1">(H520+H519)/A523-1</f>
        <v>0.14246305418719207</v>
      </c>
      <c r="I521" s="2" t="s">
        <v>2438</v>
      </c>
    </row>
    <row r="522" spans="1:10" x14ac:dyDescent="0.35">
      <c r="A522" s="2">
        <f ca="1">ROUND(C513/20,-1)</f>
        <v>130</v>
      </c>
      <c r="B522" s="2" t="s">
        <v>2673</v>
      </c>
      <c r="E522" s="8">
        <f ca="1">A514*(1+A519)</f>
        <v>3403.6363636363635</v>
      </c>
      <c r="F522" s="2" t="s">
        <v>177</v>
      </c>
      <c r="H522" s="8">
        <f ca="1">A514*(1+A520)</f>
        <v>3482.1428571428573</v>
      </c>
      <c r="I522" s="2" t="s">
        <v>177</v>
      </c>
    </row>
    <row r="523" spans="1:10" x14ac:dyDescent="0.35">
      <c r="A523" s="27">
        <f ca="1">A521*G514/A522</f>
        <v>78.07692307692308</v>
      </c>
      <c r="B523" s="2" t="s">
        <v>180</v>
      </c>
      <c r="E523" s="8">
        <f ca="1">C513+G516*(1+A519)</f>
        <v>2783.6363636363635</v>
      </c>
      <c r="F523" s="2" t="s">
        <v>178</v>
      </c>
      <c r="H523" s="8">
        <f ca="1">C513+G516*(1+A520)</f>
        <v>2790.1785714285716</v>
      </c>
      <c r="I523" s="2" t="s">
        <v>178</v>
      </c>
    </row>
    <row r="524" spans="1:10" x14ac:dyDescent="0.35">
      <c r="A524" s="114">
        <f ca="1">C512/C513</f>
        <v>0.248</v>
      </c>
      <c r="B524" s="2" t="s">
        <v>175</v>
      </c>
      <c r="E524" s="114">
        <f ca="1">C512/E523</f>
        <v>0.22273024167210975</v>
      </c>
      <c r="F524" s="2" t="s">
        <v>3317</v>
      </c>
      <c r="H524" s="8">
        <f ca="1">C512*(1+A520)</f>
        <v>691.96428571428578</v>
      </c>
      <c r="I524" s="2" t="s">
        <v>693</v>
      </c>
    </row>
    <row r="525" spans="1:10" x14ac:dyDescent="0.35">
      <c r="E525" s="114">
        <f ca="1">E520/(E523/A522)</f>
        <v>3.9775669497060746</v>
      </c>
      <c r="F525" s="2" t="s">
        <v>3846</v>
      </c>
      <c r="H525" s="114">
        <f ca="1">H520/(H523/A522)</f>
        <v>4.0600268799999997</v>
      </c>
      <c r="I525" s="2" t="s">
        <v>3846</v>
      </c>
    </row>
    <row r="526" spans="1:10" x14ac:dyDescent="0.35">
      <c r="E526" s="27">
        <f ca="1">E523/A522</f>
        <v>21.412587412587413</v>
      </c>
      <c r="F526" s="2" t="s">
        <v>416</v>
      </c>
      <c r="H526" s="27">
        <f ca="1">H523/A522</f>
        <v>21.462912087912088</v>
      </c>
      <c r="I526" s="2" t="s">
        <v>416</v>
      </c>
    </row>
    <row r="528" spans="1:10" ht="18.5" thickBot="1" x14ac:dyDescent="0.4">
      <c r="B528" s="88" t="s">
        <v>2932</v>
      </c>
      <c r="F528" s="120" t="s">
        <v>2934</v>
      </c>
      <c r="J528" s="120" t="s">
        <v>158</v>
      </c>
    </row>
    <row r="529" spans="2:14" ht="16.5" thickTop="1" thickBot="1" x14ac:dyDescent="0.4">
      <c r="B529" s="76" t="str">
        <f ca="1">[1]!std_ans($C$529)</f>
        <v>D</v>
      </c>
      <c r="C529" s="79" t="str">
        <f ca="1" xml:space="preserve"> "/\" &amp;RANDBETWEEN( 1,120) &amp; "/\" &amp;RANDBETWEEN( 1,120) &amp; "/\" &amp;0.15 &amp; "/\" &amp; A519</f>
        <v>/\83/\63/\0.15/\0.0909090909090909</v>
      </c>
      <c r="D529" s="80" t="s">
        <v>2933</v>
      </c>
      <c r="F529" s="76" t="str">
        <f ca="1">[1]!std_ans($G$529)</f>
        <v>B</v>
      </c>
      <c r="G529" s="79" t="str">
        <f ca="1" xml:space="preserve"> "/\" &amp;RANDBETWEEN( 1,120) &amp; "/\" &amp;RANDBETWEEN( 1,120) &amp; "/\" &amp;0.1 &amp; "/\" &amp; E521</f>
        <v>/\51/\73/\0.1/\0.116591133004926</v>
      </c>
      <c r="H529" s="80" t="s">
        <v>2935</v>
      </c>
      <c r="J529" s="76" t="str">
        <f ca="1">[1]!std_ans($K$529)</f>
        <v>B</v>
      </c>
      <c r="K529" s="79" t="str">
        <f ca="1" xml:space="preserve"> "/\" &amp;RANDBETWEEN( 1,120) &amp; "/\" &amp;RANDBETWEEN( 1,120) &amp; "/\" &amp;0.1 &amp; "/\" &amp; E526</f>
        <v>/\98/\64/\0.1/\21.4125874125874</v>
      </c>
      <c r="L529" s="80" t="s">
        <v>159</v>
      </c>
    </row>
    <row r="530" spans="2:14" ht="16" thickTop="1" x14ac:dyDescent="0.35">
      <c r="B530" s="92">
        <f ca="1">[1]!stdnum_A($C$529)</f>
        <v>6.8740333390616942E-2</v>
      </c>
      <c r="C530" s="82"/>
      <c r="D530" s="77"/>
      <c r="F530" s="92">
        <f ca="1">[1]!stdnum_A($G$529)</f>
        <v>9.6356308268533877E-2</v>
      </c>
      <c r="G530" s="82"/>
      <c r="H530" s="77"/>
      <c r="J530" s="129">
        <f ca="1">[1]!stdnum_A($K$529)</f>
        <v>17.696353233543302</v>
      </c>
      <c r="K530" s="82"/>
      <c r="L530" s="77"/>
    </row>
    <row r="531" spans="2:14" x14ac:dyDescent="0.35">
      <c r="B531" s="92">
        <f ca="1">[1]!stdnum_B($C$529)</f>
        <v>0.10454545454545452</v>
      </c>
      <c r="C531" s="82"/>
      <c r="D531" s="77"/>
      <c r="F531" s="92">
        <f ca="1">[1]!stdnum_B($G$529)</f>
        <v>0.116591133004926</v>
      </c>
      <c r="G531" s="82"/>
      <c r="H531" s="77"/>
      <c r="J531" s="129">
        <f ca="1">[1]!stdnum_B($K$529)</f>
        <v>21.412587412587399</v>
      </c>
      <c r="K531" s="82"/>
      <c r="L531" s="77"/>
    </row>
    <row r="532" spans="2:14" x14ac:dyDescent="0.35">
      <c r="B532" s="92">
        <f ca="1">[1]!stdnum_C($C$529)</f>
        <v>0.1202272727272727</v>
      </c>
      <c r="C532" s="82"/>
      <c r="D532" s="77"/>
      <c r="F532" s="92">
        <f ca="1">[1]!stdnum_C($G$529)</f>
        <v>0.10599193909538727</v>
      </c>
      <c r="G532" s="82"/>
      <c r="H532" s="77"/>
      <c r="J532" s="129">
        <f ca="1">[1]!stdnum_C($K$529)</f>
        <v>23.553846153846141</v>
      </c>
      <c r="K532" s="82"/>
      <c r="L532" s="77"/>
    </row>
    <row r="533" spans="2:14" x14ac:dyDescent="0.35">
      <c r="B533" s="92">
        <f ca="1">[1]!stdnum_D($C$529)</f>
        <v>9.0909090909090898E-2</v>
      </c>
      <c r="C533" s="82"/>
      <c r="D533" s="77"/>
      <c r="F533" s="92">
        <f ca="1">[1]!stdnum_D($G$529)</f>
        <v>8.7596643880485325E-2</v>
      </c>
      <c r="G533" s="82"/>
      <c r="H533" s="77"/>
      <c r="J533" s="129">
        <f ca="1">[1]!stdnum_D($K$529)</f>
        <v>25.909230769230756</v>
      </c>
      <c r="K533" s="82"/>
      <c r="L533" s="77"/>
    </row>
    <row r="534" spans="2:14" ht="16" thickBot="1" x14ac:dyDescent="0.4">
      <c r="B534" s="93">
        <f ca="1">[1]!stdnum_E($C$529)</f>
        <v>7.9051383399209488E-2</v>
      </c>
      <c r="C534" s="84"/>
      <c r="D534" s="78"/>
      <c r="F534" s="93">
        <f ca="1">[1]!stdnum_E($G$529)</f>
        <v>0.12825024630541862</v>
      </c>
      <c r="G534" s="84"/>
      <c r="H534" s="78"/>
      <c r="J534" s="130">
        <f ca="1">[1]!stdnum_E($K$529)</f>
        <v>19.465988556897635</v>
      </c>
      <c r="K534" s="84"/>
      <c r="L534" s="78"/>
    </row>
    <row r="535" spans="2:14" ht="16" thickTop="1" x14ac:dyDescent="0.35">
      <c r="J535" s="121"/>
    </row>
    <row r="536" spans="2:14" ht="18.5" thickBot="1" x14ac:dyDescent="0.4">
      <c r="B536" s="120" t="s">
        <v>160</v>
      </c>
      <c r="F536" s="120" t="s">
        <v>162</v>
      </c>
      <c r="J536" s="120" t="s">
        <v>164</v>
      </c>
    </row>
    <row r="537" spans="2:14" ht="16.5" thickTop="1" thickBot="1" x14ac:dyDescent="0.4">
      <c r="B537" s="76" t="str">
        <f ca="1">[1]!std_ans($C$537)</f>
        <v>A</v>
      </c>
      <c r="C537" s="79" t="str">
        <f ca="1" xml:space="preserve"> "/\" &amp;RANDBETWEEN( 1,120) &amp; "/\" &amp;RANDBETWEEN( 1,120) &amp; "/\" &amp;0.1 &amp; "/\" &amp; E525</f>
        <v>/\8/\28/\0.1/\3.97756694970607</v>
      </c>
      <c r="D537" s="80" t="s">
        <v>161</v>
      </c>
      <c r="F537" s="76" t="str">
        <f ca="1">[1]!std_ans($G$537)</f>
        <v>C</v>
      </c>
      <c r="G537" s="79" t="str">
        <f ca="1" xml:space="preserve"> "/\" &amp;RANDBETWEEN( 1,120) &amp; "/\" &amp;RANDBETWEEN( 1,120) &amp; "/\" &amp;0.1 &amp; "/\" &amp; E524</f>
        <v>/\86/\24/\0.1/\0.22273024167211</v>
      </c>
      <c r="H537" s="80" t="s">
        <v>163</v>
      </c>
      <c r="J537" s="76" t="str">
        <f ca="1">[1]!std_ans($K$537)</f>
        <v>D</v>
      </c>
      <c r="K537" s="79" t="str">
        <f ca="1" xml:space="preserve"> "/\" &amp;RANDBETWEEN( 1,120) &amp; "/\" &amp;RANDBETWEEN( 1,120) &amp; "/\" &amp;0.1 &amp; "/\" &amp; E520</f>
        <v>/\89/\21/\0.1/\85.17</v>
      </c>
      <c r="L537" s="80" t="s">
        <v>165</v>
      </c>
    </row>
    <row r="538" spans="2:14" ht="16" thickTop="1" x14ac:dyDescent="0.35">
      <c r="B538" s="310">
        <f ca="1">[1]!stdnum_A($C$537)</f>
        <v>3.9775669497060702</v>
      </c>
      <c r="C538" s="82"/>
      <c r="D538" s="77"/>
      <c r="F538" s="196">
        <f ca="1">[1]!stdnum_A($G$537)</f>
        <v>0.26950359242325317</v>
      </c>
      <c r="G538" s="82"/>
      <c r="H538" s="77"/>
      <c r="J538" s="96">
        <f ca="1">[1]!stdnum_A($K$537)</f>
        <v>93.687000000000012</v>
      </c>
      <c r="K538" s="82"/>
      <c r="L538" s="77"/>
    </row>
    <row r="539" spans="2:14" x14ac:dyDescent="0.35">
      <c r="B539" s="310">
        <f ca="1">[1]!stdnum_B($C$537)</f>
        <v>4.8128560091443457</v>
      </c>
      <c r="C539" s="82"/>
      <c r="D539" s="77"/>
      <c r="F539" s="196">
        <f ca="1">[1]!stdnum_B($G$537)</f>
        <v>0.29645395166557853</v>
      </c>
      <c r="G539" s="82"/>
      <c r="H539" s="77"/>
      <c r="J539" s="96">
        <f ca="1">[1]!stdnum_B($K$537)</f>
        <v>103.05570000000002</v>
      </c>
      <c r="K539" s="82"/>
      <c r="L539" s="77"/>
    </row>
    <row r="540" spans="2:14" x14ac:dyDescent="0.35">
      <c r="B540" s="310">
        <f ca="1">[1]!stdnum_C($C$537)</f>
        <v>3.6159699542782455</v>
      </c>
      <c r="C540" s="82"/>
      <c r="D540" s="77"/>
      <c r="F540" s="196">
        <f ca="1">[1]!stdnum_C($G$537)</f>
        <v>0.22273024167211</v>
      </c>
      <c r="G540" s="82"/>
      <c r="H540" s="77"/>
      <c r="J540" s="96">
        <f ca="1">[1]!stdnum_C($K$537)</f>
        <v>113.36127000000003</v>
      </c>
      <c r="K540" s="82"/>
      <c r="L540" s="77"/>
    </row>
    <row r="541" spans="2:14" x14ac:dyDescent="0.35">
      <c r="B541" s="310">
        <f ca="1">[1]!stdnum_D($C$537)</f>
        <v>4.3753236446766772</v>
      </c>
      <c r="C541" s="82"/>
      <c r="D541" s="77"/>
      <c r="F541" s="196">
        <f ca="1">[1]!stdnum_D($G$537)</f>
        <v>0.24500326583932103</v>
      </c>
      <c r="G541" s="82"/>
      <c r="H541" s="77"/>
      <c r="J541" s="96">
        <f ca="1">[1]!stdnum_D($K$537)</f>
        <v>85.17</v>
      </c>
      <c r="K541" s="82"/>
      <c r="L541" s="77"/>
    </row>
    <row r="542" spans="2:14" ht="16" thickBot="1" x14ac:dyDescent="0.4">
      <c r="B542" s="311">
        <f ca="1">[1]!stdnum_E($C$537)</f>
        <v>5.294141610058781</v>
      </c>
      <c r="C542" s="84"/>
      <c r="D542" s="78"/>
      <c r="F542" s="219">
        <f ca="1">[1]!stdnum_E($G$537)</f>
        <v>0.32609934683213632</v>
      </c>
      <c r="G542" s="84"/>
      <c r="H542" s="78"/>
      <c r="J542" s="97">
        <f ca="1">[1]!stdnum_E($K$537)</f>
        <v>124.69739700000004</v>
      </c>
      <c r="K542" s="84"/>
      <c r="L542" s="78"/>
    </row>
    <row r="543" spans="2:14" ht="16" thickTop="1" x14ac:dyDescent="0.35"/>
    <row r="544" spans="2:14" ht="18.5" thickBot="1" x14ac:dyDescent="0.4">
      <c r="B544" s="88" t="s">
        <v>166</v>
      </c>
      <c r="F544" s="120" t="s">
        <v>2222</v>
      </c>
      <c r="J544" s="88" t="s">
        <v>2224</v>
      </c>
      <c r="N544" s="120" t="s">
        <v>2339</v>
      </c>
    </row>
    <row r="545" spans="1:16" ht="16.5" thickTop="1" thickBot="1" x14ac:dyDescent="0.4">
      <c r="B545" s="76" t="str">
        <f ca="1">[1]!std_ans($C$545)</f>
        <v>E</v>
      </c>
      <c r="C545" s="79" t="str">
        <f ca="1" xml:space="preserve"> "/\" &amp;RANDBETWEEN( 1,120) &amp; "/\" &amp;RANDBETWEEN( 1,120) &amp; "/\" &amp;0.1 &amp; "/\" &amp; H526</f>
        <v>/\72/\54/\0.1/\21.4629120879121</v>
      </c>
      <c r="D545" s="80" t="s">
        <v>167</v>
      </c>
      <c r="F545" s="76" t="str">
        <f ca="1">[1]!std_ans($G$545)</f>
        <v>D</v>
      </c>
      <c r="G545" s="79" t="str">
        <f ca="1" xml:space="preserve"> "/\" &amp;RANDBETWEEN( 1,120) &amp; "/\" &amp;RANDBETWEEN( 1,120) &amp; "/\" &amp;0.1 &amp; "/\" &amp; H525</f>
        <v>/\81/\21/\0.1/\4.06002688</v>
      </c>
      <c r="H545" s="80" t="s">
        <v>2223</v>
      </c>
      <c r="J545" s="76" t="str">
        <f ca="1">[1]!std_ans($K$545)</f>
        <v>B</v>
      </c>
      <c r="K545" s="79" t="str">
        <f ca="1" xml:space="preserve"> "/\" &amp;RANDBETWEEN( 1,120) &amp; "/\" &amp;RANDBETWEEN( 1,120) &amp; "/\" &amp;0.1 &amp; "/\" &amp; H520</f>
        <v>/\77/\53/\0.1/\87.14</v>
      </c>
      <c r="L545" s="80" t="s">
        <v>2225</v>
      </c>
      <c r="N545" s="76" t="str">
        <f ca="1">[1]!std_ans($O$545)</f>
        <v>E</v>
      </c>
      <c r="O545" s="79" t="str">
        <f ca="1" xml:space="preserve"> "/\" &amp;RANDBETWEEN( 1,120) &amp; "/\" &amp;RANDBETWEEN( 1,120) &amp; "/\" &amp;0.1 &amp; "/\" &amp; H521</f>
        <v>/\90/\78/\0.1/\0.142463054187192</v>
      </c>
      <c r="P545" s="80" t="s">
        <v>2952</v>
      </c>
    </row>
    <row r="546" spans="1:16" ht="16" thickTop="1" x14ac:dyDescent="0.35">
      <c r="B546" s="129">
        <f ca="1">[1]!stdnum_A($C$545)</f>
        <v>25.970123626373642</v>
      </c>
      <c r="C546" s="82"/>
      <c r="D546" s="77"/>
      <c r="F546" s="310">
        <f ca="1">[1]!stdnum_A($G$545)</f>
        <v>4.4660295679999997</v>
      </c>
      <c r="G546" s="82"/>
      <c r="H546" s="77"/>
      <c r="J546" s="129">
        <f ca="1">[1]!stdnum_A($K$545)</f>
        <v>79.218181818181819</v>
      </c>
      <c r="K546" s="82"/>
      <c r="L546" s="77"/>
      <c r="N546" s="134">
        <f ca="1">[1]!stdnum_A($O$545)</f>
        <v>0.1295118674429018</v>
      </c>
      <c r="O546" s="82"/>
      <c r="P546" s="77"/>
    </row>
    <row r="547" spans="1:16" x14ac:dyDescent="0.35">
      <c r="B547" s="129">
        <f ca="1">[1]!stdnum_B($C$545)</f>
        <v>19.51173826173827</v>
      </c>
      <c r="C547" s="82"/>
      <c r="D547" s="77"/>
      <c r="F547" s="310">
        <f ca="1">[1]!stdnum_B($G$545)</f>
        <v>5.9442853550080015</v>
      </c>
      <c r="G547" s="82"/>
      <c r="H547" s="77"/>
      <c r="J547" s="129">
        <f ca="1">[1]!stdnum_B($K$545)</f>
        <v>87.14</v>
      </c>
      <c r="K547" s="82"/>
      <c r="L547" s="77"/>
      <c r="N547" s="134">
        <f ca="1">[1]!stdnum_B($O$545)</f>
        <v>0.1567093596059112</v>
      </c>
      <c r="O547" s="82"/>
      <c r="P547" s="77"/>
    </row>
    <row r="548" spans="1:16" x14ac:dyDescent="0.35">
      <c r="B548" s="129">
        <f ca="1">[1]!stdnum_C($C$545)</f>
        <v>23.60920329670331</v>
      </c>
      <c r="C548" s="82"/>
      <c r="D548" s="77"/>
      <c r="F548" s="310">
        <f ca="1">[1]!stdnum_C($G$545)</f>
        <v>4.9126325248000002</v>
      </c>
      <c r="G548" s="82"/>
      <c r="H548" s="77"/>
      <c r="J548" s="129">
        <f ca="1">[1]!stdnum_C($K$545)</f>
        <v>95.854000000000013</v>
      </c>
      <c r="K548" s="82"/>
      <c r="L548" s="77"/>
      <c r="N548" s="134">
        <f ca="1">[1]!stdnum_C($O$545)</f>
        <v>0.11773806131172891</v>
      </c>
      <c r="O548" s="82"/>
      <c r="P548" s="77"/>
    </row>
    <row r="549" spans="1:16" x14ac:dyDescent="0.35">
      <c r="B549" s="129">
        <f ca="1">[1]!stdnum_D($C$545)</f>
        <v>17.737943874307518</v>
      </c>
      <c r="C549" s="82"/>
      <c r="D549" s="77"/>
      <c r="F549" s="310">
        <f ca="1">[1]!stdnum_D($G$545)</f>
        <v>4.0600268799999997</v>
      </c>
      <c r="G549" s="82"/>
      <c r="H549" s="77"/>
      <c r="J549" s="129">
        <f ca="1">[1]!stdnum_D($K$545)</f>
        <v>72.016528925619824</v>
      </c>
      <c r="K549" s="82"/>
      <c r="L549" s="77"/>
      <c r="N549" s="134">
        <f ca="1">[1]!stdnum_D($O$545)</f>
        <v>0.1070346011924808</v>
      </c>
      <c r="O549" s="82"/>
      <c r="P549" s="77"/>
    </row>
    <row r="550" spans="1:16" ht="16" thickBot="1" x14ac:dyDescent="0.4">
      <c r="B550" s="130">
        <f ca="1">[1]!stdnum_E($C$545)</f>
        <v>21.462912087912098</v>
      </c>
      <c r="C550" s="84"/>
      <c r="D550" s="78"/>
      <c r="F550" s="311">
        <f ca="1">[1]!stdnum_E($G$545)</f>
        <v>5.4038957772800016</v>
      </c>
      <c r="G550" s="84"/>
      <c r="H550" s="78"/>
      <c r="J550" s="130">
        <f ca="1">[1]!stdnum_E($K$545)</f>
        <v>105.43940000000002</v>
      </c>
      <c r="K550" s="84"/>
      <c r="L550" s="78"/>
      <c r="N550" s="135">
        <f ca="1">[1]!stdnum_E($O$545)</f>
        <v>0.14246305418719199</v>
      </c>
      <c r="O550" s="84"/>
      <c r="P550" s="78"/>
    </row>
    <row r="551" spans="1:16" ht="16" thickTop="1" x14ac:dyDescent="0.35"/>
    <row r="553" spans="1:16" x14ac:dyDescent="0.35">
      <c r="A553" s="88" t="s">
        <v>971</v>
      </c>
    </row>
    <row r="554" spans="1:16" x14ac:dyDescent="0.35">
      <c r="B554" s="22" t="s">
        <v>3391</v>
      </c>
      <c r="F554" s="22" t="s">
        <v>3393</v>
      </c>
    </row>
    <row r="555" spans="1:16" x14ac:dyDescent="0.35">
      <c r="A555" s="8">
        <f ca="1">RANDBETWEEN(20,40)*150</f>
        <v>6000</v>
      </c>
      <c r="B555" s="2" t="s">
        <v>729</v>
      </c>
      <c r="C555" s="8">
        <f ca="1">C557-C556</f>
        <v>11000</v>
      </c>
      <c r="D555" s="2" t="s">
        <v>2876</v>
      </c>
      <c r="F555" s="6" t="s">
        <v>2862</v>
      </c>
      <c r="G555" s="8">
        <f ca="1">ROUND(A557*RANDBETWEEN(30,60)/10,-2)</f>
        <v>137500</v>
      </c>
    </row>
    <row r="556" spans="1:16" x14ac:dyDescent="0.35">
      <c r="A556" s="99">
        <f ca="1">RANDBETWEEN(15,40)*1000</f>
        <v>19000</v>
      </c>
      <c r="B556" s="11" t="s">
        <v>2575</v>
      </c>
      <c r="C556" s="99">
        <f ca="1">ROUND(A557*RANDBETWEEN(50,80)/100,-2)</f>
        <v>14000</v>
      </c>
      <c r="D556" s="11" t="s">
        <v>3390</v>
      </c>
      <c r="F556" s="6" t="s">
        <v>3392</v>
      </c>
      <c r="G556" s="8">
        <f ca="1">G555-G557</f>
        <v>134700</v>
      </c>
    </row>
    <row r="557" spans="1:16" x14ac:dyDescent="0.35">
      <c r="A557" s="8">
        <f ca="1">A555+A556</f>
        <v>25000</v>
      </c>
      <c r="B557" s="2" t="s">
        <v>2439</v>
      </c>
      <c r="C557" s="8">
        <f ca="1">A557</f>
        <v>25000</v>
      </c>
      <c r="F557" s="6" t="s">
        <v>2072</v>
      </c>
      <c r="G557" s="8">
        <f ca="1">ROUND(C556*RANDBETWEEN(150,400)/1000,-2)</f>
        <v>2800</v>
      </c>
    </row>
    <row r="558" spans="1:16" x14ac:dyDescent="0.35">
      <c r="F558" s="6" t="s">
        <v>2073</v>
      </c>
      <c r="G558" s="8">
        <f ca="1">ROUND(G557*RANDBETWEEN(30,70)/100,-1)</f>
        <v>1120</v>
      </c>
    </row>
    <row r="559" spans="1:16" x14ac:dyDescent="0.35">
      <c r="F559" s="6" t="s">
        <v>1608</v>
      </c>
      <c r="G559" s="165">
        <f ca="1">G557-G558</f>
        <v>1680</v>
      </c>
    </row>
    <row r="560" spans="1:16" x14ac:dyDescent="0.35">
      <c r="A560" s="407" t="s">
        <v>179</v>
      </c>
      <c r="B560" s="407"/>
      <c r="C560" s="407"/>
    </row>
    <row r="561" spans="1:12" x14ac:dyDescent="0.35">
      <c r="A561" s="29">
        <f ca="1">G559/(A557-G559)</f>
        <v>7.2041166380789029E-2</v>
      </c>
      <c r="B561" s="2" t="s">
        <v>3394</v>
      </c>
      <c r="E561" s="22" t="s">
        <v>1027</v>
      </c>
      <c r="H561" s="22" t="s">
        <v>3260</v>
      </c>
    </row>
    <row r="562" spans="1:12" x14ac:dyDescent="0.35">
      <c r="A562" s="29">
        <f ca="1">G559*(1+C555/C556)/(A557-G559*(1+C555/C556))</f>
        <v>0.13636363636363635</v>
      </c>
      <c r="B562" s="2" t="s">
        <v>1609</v>
      </c>
      <c r="E562" s="13">
        <f ca="1">ROUND(G558*(1+A561)/A565,2)</f>
        <v>0.17</v>
      </c>
      <c r="F562" s="2" t="s">
        <v>2764</v>
      </c>
      <c r="H562" s="27">
        <f ca="1">ROUND(G558*(1+A562)/A565,2)</f>
        <v>0.18</v>
      </c>
      <c r="I562" s="2" t="s">
        <v>2764</v>
      </c>
    </row>
    <row r="563" spans="1:12" x14ac:dyDescent="0.35">
      <c r="A563" s="35">
        <f ca="1">RANDBETWEEN(120,300)/10</f>
        <v>12.8</v>
      </c>
      <c r="B563" s="2" t="s">
        <v>176</v>
      </c>
      <c r="E563" s="27">
        <f ca="1">ROUND(A564*(1+A561)*G557/A565,2)</f>
        <v>4.2</v>
      </c>
      <c r="F563" s="2" t="s">
        <v>183</v>
      </c>
      <c r="H563" s="27">
        <f ca="1">ROUND(A564*(1+A562)*G557/A565,2)</f>
        <v>4.45</v>
      </c>
      <c r="I563" s="2" t="s">
        <v>183</v>
      </c>
    </row>
    <row r="564" spans="1:12" x14ac:dyDescent="0.35">
      <c r="A564" s="35">
        <f ca="1">ROUND(A563*(IF(RANDBETWEEN(0,1)=0,1/1.3,1.3)),1)</f>
        <v>9.8000000000000007</v>
      </c>
      <c r="B564" s="2" t="s">
        <v>3314</v>
      </c>
      <c r="E564" s="29">
        <f ca="1">(E563+E562)/A566-1</f>
        <v>-0.146484375</v>
      </c>
      <c r="F564" s="2" t="s">
        <v>2438</v>
      </c>
      <c r="H564" s="29">
        <f ca="1">IF(ABS((H563+H562)/A566-1)&gt;0.05,(H563+H562)/A566-1,"#RECALCULATE")</f>
        <v>-9.5703125E-2</v>
      </c>
      <c r="I564" s="2" t="s">
        <v>2438</v>
      </c>
    </row>
    <row r="565" spans="1:12" x14ac:dyDescent="0.35">
      <c r="A565" s="2">
        <f ca="1">ROUND(C556/2,-1)</f>
        <v>7000</v>
      </c>
      <c r="B565" s="2" t="s">
        <v>2673</v>
      </c>
      <c r="E565" s="8">
        <f ca="1">A557*(1+A561)</f>
        <v>26801.029159519723</v>
      </c>
      <c r="F565" s="2" t="s">
        <v>177</v>
      </c>
      <c r="H565" s="8">
        <f ca="1">A557*(1+A562)</f>
        <v>28409.090909090904</v>
      </c>
      <c r="I565" s="2" t="s">
        <v>177</v>
      </c>
    </row>
    <row r="566" spans="1:12" x14ac:dyDescent="0.35">
      <c r="A566" s="27">
        <f ca="1">A563*G557/A565</f>
        <v>5.12</v>
      </c>
      <c r="B566" s="2" t="s">
        <v>180</v>
      </c>
      <c r="E566" s="8">
        <f ca="1">C556+G559*(1+A561)</f>
        <v>15801.029159519725</v>
      </c>
      <c r="F566" s="2" t="s">
        <v>178</v>
      </c>
      <c r="H566" s="8">
        <f ca="1">C556+G559*(1+A562)</f>
        <v>15909.090909090908</v>
      </c>
      <c r="I566" s="2" t="s">
        <v>178</v>
      </c>
    </row>
    <row r="567" spans="1:12" x14ac:dyDescent="0.35">
      <c r="A567" s="114">
        <f ca="1">C555/C556</f>
        <v>0.7857142857142857</v>
      </c>
      <c r="B567" s="2" t="s">
        <v>175</v>
      </c>
      <c r="E567" s="114">
        <f ca="1">C555/E566</f>
        <v>0.69615718627876688</v>
      </c>
      <c r="F567" s="2" t="s">
        <v>3317</v>
      </c>
      <c r="H567" s="8">
        <f ca="1">C555*(1+A562)</f>
        <v>12499.999999999998</v>
      </c>
      <c r="I567" s="2" t="s">
        <v>693</v>
      </c>
    </row>
    <row r="568" spans="1:12" x14ac:dyDescent="0.35">
      <c r="E568" s="114">
        <f ca="1">E563/(E566/A565)</f>
        <v>1.8606382978723406</v>
      </c>
      <c r="F568" s="2" t="s">
        <v>3846</v>
      </c>
      <c r="H568" s="114">
        <f ca="1">H563/(H566/A565)</f>
        <v>1.9580000000000002</v>
      </c>
      <c r="I568" s="2" t="s">
        <v>3846</v>
      </c>
    </row>
    <row r="570" spans="1:12" ht="18.5" thickBot="1" x14ac:dyDescent="0.4">
      <c r="B570" s="88" t="s">
        <v>3774</v>
      </c>
      <c r="F570" s="120" t="s">
        <v>3776</v>
      </c>
    </row>
    <row r="571" spans="1:12" ht="16.5" thickTop="1" thickBot="1" x14ac:dyDescent="0.4">
      <c r="B571" s="76" t="str">
        <f ca="1">[1]!std_ans($C$571)</f>
        <v>E</v>
      </c>
      <c r="C571" s="79" t="str">
        <f ca="1" xml:space="preserve"> "/\" &amp;RANDBETWEEN( 1,120) &amp; "/\" &amp;RANDBETWEEN( 1,120) &amp; "/\" &amp;0.1 &amp; "/\" &amp; E564</f>
        <v>/\72/\31/\0.1/\-0.146484375</v>
      </c>
      <c r="D571" s="80" t="s">
        <v>3775</v>
      </c>
      <c r="F571" s="76" t="str">
        <f ca="1">[1]!std_ans($G$571)</f>
        <v>E</v>
      </c>
      <c r="G571" s="79" t="str">
        <f ca="1" xml:space="preserve"> "/\" &amp;RANDBETWEEN( 1,120) &amp; "/\" &amp;RANDBETWEEN( 1,120) &amp; "/\" &amp;0.1 &amp; "/\" &amp; H564</f>
        <v>/\108/\19/\0.1/\-0.095703125</v>
      </c>
      <c r="H571" s="80" t="s">
        <v>3086</v>
      </c>
      <c r="J571" s="76" t="str">
        <f ca="1">[1]!std_ans($K$571)</f>
        <v>B</v>
      </c>
      <c r="K571" s="79" t="str">
        <f ca="1" xml:space="preserve"> "/\" &amp;RANDBETWEEN( 1,120) &amp; "/\" &amp;RANDBETWEEN( 1,120) &amp; "/\" &amp;0.1 &amp; "/\" &amp; A562</f>
        <v>/\51/\104/\0.1/\0.136363636363636</v>
      </c>
      <c r="L571" s="80" t="s">
        <v>1531</v>
      </c>
    </row>
    <row r="572" spans="1:12" ht="16" thickTop="1" x14ac:dyDescent="0.35">
      <c r="B572" s="112">
        <f ca="1">[1]!stdnum_A($C$571)</f>
        <v>-0.13316761363636362</v>
      </c>
      <c r="C572" s="82"/>
      <c r="D572" s="77"/>
      <c r="F572" s="112">
        <f ca="1">IF(H564="#RECALCULATE","#RECALCULATE",[1]!stdnum_A($G$571))</f>
        <v>-0.12738085937500004</v>
      </c>
      <c r="G572" s="82"/>
      <c r="H572" s="77"/>
      <c r="J572" s="92">
        <f ca="1">[1]!stdnum_A($K$571)</f>
        <v>9.3138198458873001E-2</v>
      </c>
      <c r="K572" s="82"/>
      <c r="L572" s="77"/>
    </row>
    <row r="573" spans="1:12" x14ac:dyDescent="0.35">
      <c r="B573" s="112">
        <f ca="1">[1]!stdnum_B($C$571)</f>
        <v>-0.19497070312500006</v>
      </c>
      <c r="C573" s="82"/>
      <c r="D573" s="77"/>
      <c r="F573" s="112">
        <f ca="1">[1]!stdnum_B($G$571)</f>
        <v>-0.14011894531250005</v>
      </c>
      <c r="G573" s="82"/>
      <c r="H573" s="77"/>
      <c r="J573" s="92">
        <f ca="1">[1]!stdnum_B($K$571)</f>
        <v>0.13636363636363599</v>
      </c>
      <c r="K573" s="82"/>
      <c r="L573" s="77"/>
    </row>
    <row r="574" spans="1:12" x14ac:dyDescent="0.35">
      <c r="B574" s="112">
        <f ca="1">[1]!stdnum_C($C$571)</f>
        <v>-0.17724609375000003</v>
      </c>
      <c r="C574" s="82"/>
      <c r="D574" s="77"/>
      <c r="F574" s="112">
        <f ca="1">[1]!stdnum_C($G$571)</f>
        <v>-0.11580078125000001</v>
      </c>
      <c r="G574" s="82"/>
      <c r="H574" s="77"/>
      <c r="J574" s="92">
        <f ca="1">[1]!stdnum_C($K$571)</f>
        <v>0.12396694214875999</v>
      </c>
      <c r="K574" s="82"/>
      <c r="L574" s="77"/>
    </row>
    <row r="575" spans="1:12" x14ac:dyDescent="0.35">
      <c r="B575" s="112">
        <f ca="1">[1]!stdnum_D($C$571)</f>
        <v>-0.1611328125</v>
      </c>
      <c r="C575" s="82"/>
      <c r="D575" s="77"/>
      <c r="F575" s="112">
        <f ca="1">[1]!stdnum_D($G$571)</f>
        <v>-0.10527343750000001</v>
      </c>
      <c r="G575" s="82"/>
      <c r="H575" s="77"/>
      <c r="J575" s="92">
        <f ca="1">[1]!stdnum_D($K$571)</f>
        <v>0.10245201830476029</v>
      </c>
      <c r="K575" s="82"/>
      <c r="L575" s="77"/>
    </row>
    <row r="576" spans="1:12" ht="16" thickBot="1" x14ac:dyDescent="0.4">
      <c r="B576" s="113">
        <f ca="1">[1]!stdnum_E($C$571)</f>
        <v>-0.146484375</v>
      </c>
      <c r="C576" s="84"/>
      <c r="D576" s="78"/>
      <c r="F576" s="113">
        <f ca="1">[1]!stdnum_E($G$571)</f>
        <v>-9.5703125E-2</v>
      </c>
      <c r="G576" s="84"/>
      <c r="H576" s="78"/>
      <c r="J576" s="93">
        <f ca="1">[1]!stdnum_E($K$571)</f>
        <v>0.11269722013523635</v>
      </c>
      <c r="K576" s="84"/>
      <c r="L576" s="78"/>
    </row>
    <row r="577" spans="1:6" ht="16" thickTop="1" x14ac:dyDescent="0.35"/>
    <row r="579" spans="1:6" x14ac:dyDescent="0.35">
      <c r="A579" s="88" t="s">
        <v>3087</v>
      </c>
    </row>
    <row r="580" spans="1:6" x14ac:dyDescent="0.35">
      <c r="F580" s="5" t="s">
        <v>3556</v>
      </c>
    </row>
    <row r="581" spans="1:6" x14ac:dyDescent="0.35">
      <c r="A581" s="20">
        <f ca="1">RANDBETWEEN(20,90)*1500</f>
        <v>135000</v>
      </c>
      <c r="B581" s="2" t="s">
        <v>2862</v>
      </c>
      <c r="E581" s="10">
        <f ca="1">ROUND(A582*A581,-1)</f>
        <v>6750</v>
      </c>
      <c r="F581" s="2" t="s">
        <v>2862</v>
      </c>
    </row>
    <row r="582" spans="1:6" x14ac:dyDescent="0.35">
      <c r="A582" s="7">
        <f ca="1">RANDBETWEEN(40,90)/1000</f>
        <v>0.05</v>
      </c>
      <c r="B582" s="2" t="s">
        <v>1609</v>
      </c>
      <c r="E582" s="10">
        <f ca="1">ROUND(A582*A583,-1)</f>
        <v>9450</v>
      </c>
      <c r="F582" s="2" t="s">
        <v>1724</v>
      </c>
    </row>
    <row r="583" spans="1:6" x14ac:dyDescent="0.35">
      <c r="A583" s="21">
        <f ca="1">A581*RANDBETWEEN(12,40)/10</f>
        <v>189000</v>
      </c>
      <c r="B583" s="2" t="s">
        <v>1724</v>
      </c>
      <c r="E583" s="10">
        <f ca="1">IF(F584=1,E581,E582)</f>
        <v>6750</v>
      </c>
      <c r="F583" s="2" t="str">
        <f ca="1">IF(F584=1,F581,F582)</f>
        <v>sales</v>
      </c>
    </row>
    <row r="584" spans="1:6" ht="16" thickBot="1" x14ac:dyDescent="0.4">
      <c r="F584" s="2">
        <f ca="1">(RANDBETWEEN(0,1))</f>
        <v>1</v>
      </c>
    </row>
    <row r="585" spans="1:6" ht="16.5" thickTop="1" thickBot="1" x14ac:dyDescent="0.4">
      <c r="B585" s="76" t="str">
        <f ca="1">[1]!std_ans($C$585)</f>
        <v>C</v>
      </c>
      <c r="C585" s="79" t="str">
        <f ca="1" xml:space="preserve"> "/\" &amp;RANDBETWEEN( 1,120) &amp; "/\" &amp;RANDBETWEEN( 1,120) &amp; "/\" &amp;0.1 &amp; "/\" &amp; E583</f>
        <v>/\116/\77/\0.1/\6750</v>
      </c>
      <c r="D585" s="80" t="s">
        <v>3088</v>
      </c>
    </row>
    <row r="586" spans="1:6" ht="16" thickTop="1" x14ac:dyDescent="0.35">
      <c r="B586" s="110">
        <f ca="1">[1]!stdnum_A($C$585)</f>
        <v>6136.363636363636</v>
      </c>
      <c r="C586" s="82"/>
      <c r="D586" s="77"/>
    </row>
    <row r="587" spans="1:6" x14ac:dyDescent="0.35">
      <c r="B587" s="110">
        <f ca="1">[1]!stdnum_B($C$585)</f>
        <v>5578.5123966942147</v>
      </c>
      <c r="C587" s="82"/>
      <c r="D587" s="77"/>
    </row>
    <row r="588" spans="1:6" x14ac:dyDescent="0.35">
      <c r="B588" s="110">
        <f ca="1">[1]!stdnum_C($C$585)</f>
        <v>6750</v>
      </c>
      <c r="C588" s="82"/>
      <c r="D588" s="77"/>
    </row>
    <row r="589" spans="1:6" x14ac:dyDescent="0.35">
      <c r="B589" s="110">
        <f ca="1">[1]!stdnum_D($C$585)</f>
        <v>7425.0000000000009</v>
      </c>
      <c r="C589" s="82"/>
      <c r="D589" s="77"/>
    </row>
    <row r="590" spans="1:6" ht="16" thickBot="1" x14ac:dyDescent="0.4">
      <c r="B590" s="111">
        <f ca="1">[1]!stdnum_E($C$585)</f>
        <v>5071.374906085648</v>
      </c>
      <c r="C590" s="84"/>
      <c r="D590" s="78"/>
    </row>
    <row r="591" spans="1:6" ht="16" thickTop="1" x14ac:dyDescent="0.35"/>
    <row r="593" spans="1:8" x14ac:dyDescent="0.35">
      <c r="A593" s="88" t="s">
        <v>463</v>
      </c>
    </row>
    <row r="594" spans="1:8" x14ac:dyDescent="0.35">
      <c r="A594" s="8">
        <f ca="1">RANDBETWEEN(30,60)*1000</f>
        <v>37000</v>
      </c>
      <c r="B594" s="28" t="s">
        <v>1313</v>
      </c>
    </row>
    <row r="595" spans="1:8" x14ac:dyDescent="0.35">
      <c r="A595" s="12">
        <f ca="1">CEILING(RANDBETWEEN(70,85)/100,0.05)</f>
        <v>0.8</v>
      </c>
      <c r="B595" s="28" t="s">
        <v>1314</v>
      </c>
    </row>
    <row r="596" spans="1:8" x14ac:dyDescent="0.35">
      <c r="A596" s="28">
        <f ca="1">RANDBETWEEN(50,80)</f>
        <v>64</v>
      </c>
      <c r="B596" s="28" t="s">
        <v>3729</v>
      </c>
    </row>
    <row r="597" spans="1:8" x14ac:dyDescent="0.35">
      <c r="A597" s="230">
        <f ca="1">A596*A595*A594/365</f>
        <v>5190.1369863013697</v>
      </c>
      <c r="B597" s="28" t="s">
        <v>3730</v>
      </c>
    </row>
    <row r="598" spans="1:8" x14ac:dyDescent="0.35">
      <c r="A598" s="28">
        <f ca="1">RANDBETWEEN(25,40)*(IF(RANDBETWEEN(0,1)=0,1,-1))</f>
        <v>-32</v>
      </c>
      <c r="B598" s="1" t="s">
        <v>1563</v>
      </c>
      <c r="C598" s="28" t="str">
        <f ca="1">IF(A598&lt;0,"decreases","increases")</f>
        <v>decreases</v>
      </c>
    </row>
    <row r="599" spans="1:8" x14ac:dyDescent="0.35">
      <c r="A599" s="230">
        <f ca="1">(A596+A598)*A595*A594/365</f>
        <v>2595.0684931506848</v>
      </c>
      <c r="B599" s="28" t="s">
        <v>2800</v>
      </c>
    </row>
    <row r="600" spans="1:8" x14ac:dyDescent="0.35">
      <c r="A600" s="12">
        <f ca="1">RANDBETWEEN(10,20)/100</f>
        <v>0.12</v>
      </c>
      <c r="B600" s="28" t="s">
        <v>2525</v>
      </c>
    </row>
    <row r="601" spans="1:8" x14ac:dyDescent="0.35">
      <c r="A601" s="8">
        <f ca="1">A600*(A599-A597)</f>
        <v>-311.40821917808216</v>
      </c>
      <c r="B601" s="1" t="s">
        <v>1564</v>
      </c>
      <c r="C601" s="28" t="str">
        <f ca="1">IF(A601&gt;0,"costs","savings")</f>
        <v>savings</v>
      </c>
    </row>
    <row r="602" spans="1:8" x14ac:dyDescent="0.35">
      <c r="A602" s="8">
        <f ca="1">ABS(A601)</f>
        <v>311.40821917808216</v>
      </c>
      <c r="B602" s="28"/>
      <c r="C602" s="28" t="str">
        <f ca="1">IF(A601&gt;0,"savings","costs")</f>
        <v>costs</v>
      </c>
    </row>
    <row r="604" spans="1:8" ht="16" thickBot="1" x14ac:dyDescent="0.4">
      <c r="B604" s="120" t="s">
        <v>462</v>
      </c>
      <c r="F604" s="88" t="s">
        <v>465</v>
      </c>
    </row>
    <row r="605" spans="1:8" ht="16.5" thickTop="1" thickBot="1" x14ac:dyDescent="0.4">
      <c r="B605" s="76" t="str">
        <f ca="1">[1]!std_ans($C$605)</f>
        <v>C</v>
      </c>
      <c r="C605" s="79" t="str">
        <f ca="1" xml:space="preserve"> "/\" &amp;RANDBETWEEN( 1,120) &amp; "/\" &amp;RANDBETWEEN( 1,120) &amp; "/\" &amp;0.2 &amp; "/\" &amp; A601</f>
        <v>/\86/\28/\0.2/\-311.408219178082</v>
      </c>
      <c r="D605" s="80" t="s">
        <v>464</v>
      </c>
      <c r="F605" s="76" t="str">
        <f ca="1">[1]!alpha_ans($G$605)</f>
        <v>B</v>
      </c>
      <c r="G605" s="79" t="str">
        <f ca="1" xml:space="preserve"> "/\" &amp;RANDBETWEEN( 1,5) &amp; "/\" &amp;RANDBETWEEN( 1,120) &amp; "/\" &amp;RANDBETWEEN( 1,6) &amp; "/\" &amp;RANDBETWEEN( 1,2) &amp; "/\" &amp; A602 &amp; "/\" &amp; "Mask" &amp; "/\" &amp; "Mask" &amp; "/\" &amp; C601 &amp; "/\" &amp; C602</f>
        <v>/\2/\60/\1/\1/\311.408219178082/\Mask/\Mask/\savings/\costs</v>
      </c>
      <c r="H605" s="80" t="s">
        <v>466</v>
      </c>
    </row>
    <row r="606" spans="1:8" ht="16" thickTop="1" x14ac:dyDescent="0.35">
      <c r="B606" s="110">
        <f ca="1">[1]!stdnum_A($C$605)</f>
        <v>-538.11340273972564</v>
      </c>
      <c r="C606" s="82"/>
      <c r="D606" s="77"/>
      <c r="F606" s="312">
        <f ca="1">[1]!onepair_A($G$605)</f>
        <v>358.11945205479401</v>
      </c>
      <c r="G606" s="136" t="str">
        <f ca="1">[1]!onepair_A2($G$605)</f>
        <v>costs</v>
      </c>
      <c r="H606" s="77"/>
    </row>
    <row r="607" spans="1:8" x14ac:dyDescent="0.35">
      <c r="B607" s="110">
        <f ca="1">[1]!stdnum_B($C$605)</f>
        <v>-448.42783561643807</v>
      </c>
      <c r="C607" s="82"/>
      <c r="D607" s="77"/>
      <c r="F607" s="312">
        <f ca="1">[1]!onepair_B($G$605)</f>
        <v>311.40821917808199</v>
      </c>
      <c r="G607" s="136" t="str">
        <f ca="1">[1]!onepair_B2($G$605)</f>
        <v>savings</v>
      </c>
      <c r="H607" s="77"/>
    </row>
    <row r="608" spans="1:8" x14ac:dyDescent="0.35">
      <c r="B608" s="110">
        <f ca="1">[1]!stdnum_C($C$605)</f>
        <v>-311.40821917808199</v>
      </c>
      <c r="C608" s="82"/>
      <c r="D608" s="77"/>
      <c r="F608" s="312">
        <f ca="1">[1]!onepair_C($G$605)</f>
        <v>411.83736986301301</v>
      </c>
      <c r="G608" s="136" t="str">
        <f ca="1">[1]!onepair_C2($G$605)</f>
        <v>costs</v>
      </c>
      <c r="H608" s="77"/>
    </row>
    <row r="609" spans="1:8" x14ac:dyDescent="0.35">
      <c r="B609" s="110">
        <f ca="1">[1]!stdnum_D($C$605)</f>
        <v>-373.68986301369836</v>
      </c>
      <c r="C609" s="82"/>
      <c r="D609" s="77"/>
      <c r="F609" s="312">
        <f ca="1">[1]!onepair_D($G$605)</f>
        <v>411.83736986301301</v>
      </c>
      <c r="G609" s="136" t="str">
        <f ca="1">[1]!onepair_D2($G$605)</f>
        <v>savings</v>
      </c>
      <c r="H609" s="77"/>
    </row>
    <row r="610" spans="1:8" ht="16" thickBot="1" x14ac:dyDescent="0.4">
      <c r="B610" s="111">
        <f ca="1">[1]!stdnum_E($C$605)</f>
        <v>-259.50684931506834</v>
      </c>
      <c r="C610" s="84"/>
      <c r="D610" s="78"/>
      <c r="F610" s="313">
        <f ca="1">[1]!onepair_E($G$605)</f>
        <v>311.40821917808199</v>
      </c>
      <c r="G610" s="137" t="str">
        <f ca="1">[1]!onepair_E2($G$605)</f>
        <v>costs</v>
      </c>
      <c r="H610" s="78"/>
    </row>
    <row r="611" spans="1:8" ht="16" thickTop="1" x14ac:dyDescent="0.35"/>
    <row r="613" spans="1:8" x14ac:dyDescent="0.35">
      <c r="A613" s="88" t="s">
        <v>469</v>
      </c>
    </row>
    <row r="614" spans="1:8" x14ac:dyDescent="0.35">
      <c r="A614" s="8">
        <f ca="1">RANDBETWEEN(30,60)*10000</f>
        <v>440000</v>
      </c>
      <c r="B614" s="28" t="s">
        <v>1313</v>
      </c>
      <c r="D614" s="28"/>
    </row>
    <row r="615" spans="1:8" x14ac:dyDescent="0.35">
      <c r="A615" s="12">
        <f ca="1">CEILING(RANDBETWEEN(70,85)/100,0.05)</f>
        <v>0.8</v>
      </c>
      <c r="B615" s="28" t="s">
        <v>1314</v>
      </c>
      <c r="D615" s="28"/>
    </row>
    <row r="616" spans="1:8" x14ac:dyDescent="0.35">
      <c r="A616" s="28">
        <f ca="1">RANDBETWEEN(35,60)</f>
        <v>41</v>
      </c>
      <c r="B616" s="28" t="s">
        <v>2595</v>
      </c>
      <c r="D616" s="28"/>
    </row>
    <row r="617" spans="1:8" x14ac:dyDescent="0.35">
      <c r="A617" s="8">
        <f ca="1">A616*A615*A614/365</f>
        <v>39539.726027397264</v>
      </c>
      <c r="B617" s="28" t="s">
        <v>2596</v>
      </c>
      <c r="D617" s="28"/>
    </row>
    <row r="618" spans="1:8" x14ac:dyDescent="0.35">
      <c r="A618" s="28">
        <f ca="1">RANDBETWEEN(20,30)*(IF(RANDBETWEEN(0,1)=0,1,-1))</f>
        <v>21</v>
      </c>
      <c r="B618" s="1" t="s">
        <v>467</v>
      </c>
      <c r="C618" s="28" t="str">
        <f ca="1">IF(A618&lt;0,"decrease","increase")</f>
        <v>increase</v>
      </c>
      <c r="D618" s="62">
        <f ca="1">ABS(A618)</f>
        <v>21</v>
      </c>
    </row>
    <row r="619" spans="1:8" x14ac:dyDescent="0.35">
      <c r="A619" s="8">
        <f ca="1">(A616+A618)*A615*A614/365</f>
        <v>59791.780821917811</v>
      </c>
      <c r="B619" s="28" t="s">
        <v>2597</v>
      </c>
      <c r="D619" s="231"/>
    </row>
    <row r="620" spans="1:8" x14ac:dyDescent="0.35">
      <c r="A620" s="12">
        <f ca="1">RANDBETWEEN(10,20)/100</f>
        <v>0.14000000000000001</v>
      </c>
      <c r="B620" s="28" t="s">
        <v>2525</v>
      </c>
      <c r="D620" s="28"/>
    </row>
    <row r="621" spans="1:8" x14ac:dyDescent="0.35">
      <c r="A621" s="24">
        <f ca="1">A620*(A617-A619)</f>
        <v>-2835.2876712328771</v>
      </c>
      <c r="B621" s="1" t="s">
        <v>1564</v>
      </c>
      <c r="C621" s="28" t="str">
        <f ca="1">IF(A621&lt;0,"savings","costs")</f>
        <v>savings</v>
      </c>
      <c r="D621" s="231"/>
    </row>
    <row r="622" spans="1:8" x14ac:dyDescent="0.35">
      <c r="A622" s="8">
        <f ca="1">ABS(A621)</f>
        <v>2835.2876712328771</v>
      </c>
      <c r="B622" s="28"/>
      <c r="C622" s="28" t="str">
        <f ca="1">IF(A621&gt;0,"savings","costs")</f>
        <v>costs</v>
      </c>
    </row>
    <row r="624" spans="1:8" ht="16" thickBot="1" x14ac:dyDescent="0.4">
      <c r="B624" s="88" t="s">
        <v>468</v>
      </c>
      <c r="F624" s="88" t="s">
        <v>555</v>
      </c>
    </row>
    <row r="625" spans="1:8" ht="16.5" thickTop="1" thickBot="1" x14ac:dyDescent="0.4">
      <c r="B625" s="76" t="str">
        <f ca="1">[1]!std_ans($C$625)</f>
        <v>D</v>
      </c>
      <c r="C625" s="79" t="str">
        <f ca="1" xml:space="preserve"> "/\" &amp;RANDBETWEEN( 1,120) &amp; "/\" &amp;RANDBETWEEN( 1,120) &amp; "/\" &amp;0.1 &amp; "/\" &amp; A621</f>
        <v>/\33/\56/\0.1/\-2835.28767123288</v>
      </c>
      <c r="D625" s="80" t="s">
        <v>470</v>
      </c>
      <c r="F625" s="76" t="str">
        <f ca="1">[1]!alpha_ans($G$625)</f>
        <v>C</v>
      </c>
      <c r="G625" s="79" t="str">
        <f ca="1" xml:space="preserve"> "/\" &amp;RANDBETWEEN( 1,5) &amp; "/\" &amp;RANDBETWEEN( 1,120) &amp; "/\" &amp;RANDBETWEEN( 1,6) &amp; "/\" &amp;RANDBETWEEN( 1,2) &amp; "/\" &amp; A621 &amp; "/\" &amp; "Mask" &amp; "/\" &amp; "Mask" &amp; "/\" &amp; C621 &amp; "/\" &amp; C622</f>
        <v>/\3/\113/\1/\2/\-2835.28767123288/\Mask/\Mask/\savings/\costs</v>
      </c>
      <c r="H625" s="80" t="s">
        <v>556</v>
      </c>
    </row>
    <row r="626" spans="1:8" ht="16" thickTop="1" x14ac:dyDescent="0.35">
      <c r="B626" s="110">
        <f ca="1">[1]!stdnum_A($C$625)</f>
        <v>-2577.5342465753452</v>
      </c>
      <c r="C626" s="82"/>
      <c r="D626" s="77"/>
      <c r="F626" s="110">
        <f ca="1">[1]!onepair_A($G$625)</f>
        <v>-3749.66794520548</v>
      </c>
      <c r="G626" s="136" t="str">
        <f ca="1">[1]!onepair_A2($G$625)</f>
        <v>costs</v>
      </c>
      <c r="H626" s="77"/>
    </row>
    <row r="627" spans="1:8" x14ac:dyDescent="0.35">
      <c r="B627" s="110">
        <f ca="1">[1]!stdnum_B($C$625)</f>
        <v>-2343.2129514321318</v>
      </c>
      <c r="C627" s="82"/>
      <c r="D627" s="77"/>
      <c r="F627" s="110">
        <f ca="1">[1]!onepair_B($G$625)</f>
        <v>-3260.5808219178102</v>
      </c>
      <c r="G627" s="136" t="str">
        <f ca="1">[1]!onepair_B2($G$625)</f>
        <v>costs</v>
      </c>
      <c r="H627" s="77"/>
    </row>
    <row r="628" spans="1:8" x14ac:dyDescent="0.35">
      <c r="B628" s="110">
        <f ca="1">[1]!stdnum_C($C$625)</f>
        <v>-3430.698082191785</v>
      </c>
      <c r="C628" s="82"/>
      <c r="D628" s="77"/>
      <c r="F628" s="110">
        <f ca="1">[1]!onepair_C($G$625)</f>
        <v>-2835.2876712328798</v>
      </c>
      <c r="G628" s="136" t="str">
        <f ca="1">[1]!onepair_C2($G$625)</f>
        <v>savings</v>
      </c>
      <c r="H628" s="77"/>
    </row>
    <row r="629" spans="1:8" x14ac:dyDescent="0.35">
      <c r="B629" s="110">
        <f ca="1">[1]!stdnum_D($C$625)</f>
        <v>-2835.2876712328798</v>
      </c>
      <c r="C629" s="82"/>
      <c r="D629" s="77"/>
      <c r="F629" s="110">
        <f ca="1">[1]!onepair_D($G$625)</f>
        <v>-2835.2876712328798</v>
      </c>
      <c r="G629" s="136" t="str">
        <f ca="1">[1]!onepair_D2($G$625)</f>
        <v>costs</v>
      </c>
      <c r="H629" s="77"/>
    </row>
    <row r="630" spans="1:8" ht="16" thickBot="1" x14ac:dyDescent="0.4">
      <c r="B630" s="111">
        <f ca="1">[1]!stdnum_E($C$625)</f>
        <v>-3118.816438356168</v>
      </c>
      <c r="C630" s="84"/>
      <c r="D630" s="78"/>
      <c r="F630" s="111">
        <f ca="1">[1]!onepair_E($G$625)</f>
        <v>-3260.5808219178102</v>
      </c>
      <c r="G630" s="137" t="str">
        <f ca="1">[1]!onepair_E2($G$625)</f>
        <v>savings</v>
      </c>
      <c r="H630" s="78"/>
    </row>
    <row r="631" spans="1:8" ht="16" thickTop="1" x14ac:dyDescent="0.35"/>
    <row r="633" spans="1:8" x14ac:dyDescent="0.35">
      <c r="A633" s="88" t="s">
        <v>3322</v>
      </c>
    </row>
    <row r="634" spans="1:8" x14ac:dyDescent="0.35">
      <c r="A634" s="20">
        <f ca="1">RANDBETWEEN(20,90)*3500</f>
        <v>115500</v>
      </c>
      <c r="B634" s="2" t="s">
        <v>1724</v>
      </c>
      <c r="E634" s="21">
        <f ca="1">A634*A635-A636</f>
        <v>5316.5</v>
      </c>
      <c r="F634" s="4" t="s">
        <v>1776</v>
      </c>
    </row>
    <row r="635" spans="1:8" x14ac:dyDescent="0.35">
      <c r="A635" s="7">
        <f ca="1">RANDBETWEEN(40,90)/1000</f>
        <v>6.3E-2</v>
      </c>
      <c r="B635" s="2" t="s">
        <v>3644</v>
      </c>
      <c r="E635" s="21">
        <f ca="1">ABS(G635)</f>
        <v>846.5</v>
      </c>
      <c r="F635" s="4" t="s">
        <v>1777</v>
      </c>
      <c r="G635" s="336">
        <f ca="1">A634*A635-A636-A637</f>
        <v>846.5</v>
      </c>
    </row>
    <row r="636" spans="1:8" x14ac:dyDescent="0.35">
      <c r="A636" s="21">
        <f ca="1">ROUND(A634*A635*RANDBETWEEN(12,30)/100,-1)</f>
        <v>1960</v>
      </c>
      <c r="B636" s="2" t="s">
        <v>1775</v>
      </c>
      <c r="E636" s="4" t="str">
        <f ca="1">IF(G635&gt;0,"deficit","surplus")</f>
        <v>deficit</v>
      </c>
      <c r="F636" s="4" t="s">
        <v>372</v>
      </c>
    </row>
    <row r="637" spans="1:8" x14ac:dyDescent="0.35">
      <c r="A637" s="21">
        <f ca="1">ROUND((1+RANDBETWEEN(16,25)/100)^(IF(RANDBETWEEN(0,1)=0,1,-1))*E634,-1)</f>
        <v>4470</v>
      </c>
      <c r="B637" s="2" t="s">
        <v>1608</v>
      </c>
      <c r="E637" s="4" t="str">
        <f ca="1">IF(G635&lt;0,"deficit","surplus")</f>
        <v>surplus</v>
      </c>
      <c r="F637" s="4" t="s">
        <v>3178</v>
      </c>
    </row>
    <row r="639" spans="1:8" ht="16" thickBot="1" x14ac:dyDescent="0.4">
      <c r="B639" s="120" t="s">
        <v>3321</v>
      </c>
      <c r="F639" s="120" t="s">
        <v>438</v>
      </c>
    </row>
    <row r="640" spans="1:8" ht="16.5" thickTop="1" thickBot="1" x14ac:dyDescent="0.4">
      <c r="B640" s="76" t="str">
        <f ca="1">[1]!std_ans($C$640)</f>
        <v>A</v>
      </c>
      <c r="C640" s="79" t="str">
        <f ca="1" xml:space="preserve"> "/\" &amp;RANDBETWEEN( 1,120) &amp; "/\" &amp;RANDBETWEEN( 1,120) &amp; "/\" &amp;0.1 &amp; "/\" &amp; G635</f>
        <v>/\8/\59/\0.1/\846.5</v>
      </c>
      <c r="D640" s="80" t="s">
        <v>3323</v>
      </c>
      <c r="F640" s="76" t="str">
        <f ca="1">[1]!alpha_ans($G$640)</f>
        <v>B</v>
      </c>
      <c r="G640" s="79" t="str">
        <f ca="1" xml:space="preserve"> "/\" &amp;RANDBETWEEN( 1,5) &amp; "/\" &amp;RANDBETWEEN( 1,120) &amp; "/\" &amp;RANDBETWEEN( 1,6) &amp; "/\" &amp;RANDBETWEEN( 1,2) &amp; "/\" &amp; E635 &amp; "/\" &amp; "Mask" &amp; "/\" &amp; "Mask" &amp; "/\" &amp; E636 &amp; "/\" &amp; E637</f>
        <v>/\2/\60/\2/\1/\846.5/\Mask/\Mask/\deficit/\surplus</v>
      </c>
      <c r="H640" s="80" t="s">
        <v>439</v>
      </c>
    </row>
    <row r="641" spans="1:10" ht="16" thickTop="1" x14ac:dyDescent="0.35">
      <c r="B641" s="337">
        <f ca="1">[1]!stdnum_A($C$640)</f>
        <v>846.5</v>
      </c>
      <c r="C641" s="82"/>
      <c r="D641" s="77"/>
      <c r="F641" s="110">
        <f ca="1">[1]!onepair_A($G$640)</f>
        <v>1119.4962499999999</v>
      </c>
      <c r="G641" s="136" t="str">
        <f ca="1">[1]!onepair_A2($G$640)</f>
        <v>surplus</v>
      </c>
      <c r="H641" s="77"/>
    </row>
    <row r="642" spans="1:10" x14ac:dyDescent="0.35">
      <c r="B642" s="337">
        <f ca="1">[1]!stdnum_B($C$640)</f>
        <v>1024.2650000000001</v>
      </c>
      <c r="C642" s="82"/>
      <c r="D642" s="77"/>
      <c r="F642" s="110">
        <f ca="1">[1]!onepair_B($G$640)</f>
        <v>846.5</v>
      </c>
      <c r="G642" s="136" t="str">
        <f ca="1">[1]!onepair_B2($G$640)</f>
        <v>deficit</v>
      </c>
      <c r="H642" s="77"/>
    </row>
    <row r="643" spans="1:10" x14ac:dyDescent="0.35">
      <c r="B643" s="337">
        <f ca="1">[1]!stdnum_C($C$640)</f>
        <v>769.5454545454545</v>
      </c>
      <c r="C643" s="82"/>
      <c r="D643" s="77"/>
      <c r="F643" s="110">
        <f ca="1">[1]!onepair_C($G$640)</f>
        <v>973.47500000000002</v>
      </c>
      <c r="G643" s="136" t="str">
        <f ca="1">[1]!onepair_C2($G$640)</f>
        <v>surplus</v>
      </c>
      <c r="H643" s="77"/>
    </row>
    <row r="644" spans="1:10" x14ac:dyDescent="0.35">
      <c r="B644" s="337">
        <f ca="1">[1]!stdnum_D($C$640)</f>
        <v>931.15000000000009</v>
      </c>
      <c r="C644" s="82"/>
      <c r="D644" s="77"/>
      <c r="F644" s="110">
        <f ca="1">[1]!onepair_D($G$640)</f>
        <v>973.47500000000002</v>
      </c>
      <c r="G644" s="136" t="str">
        <f ca="1">[1]!onepair_D2($G$640)</f>
        <v>deficit</v>
      </c>
      <c r="H644" s="77"/>
    </row>
    <row r="645" spans="1:10" ht="16" thickBot="1" x14ac:dyDescent="0.4">
      <c r="B645" s="338">
        <f ca="1">[1]!stdnum_E($C$640)</f>
        <v>699.58677685950408</v>
      </c>
      <c r="C645" s="84"/>
      <c r="D645" s="78"/>
      <c r="F645" s="111">
        <f ca="1">[1]!onepair_E($G$640)</f>
        <v>846.5</v>
      </c>
      <c r="G645" s="137" t="str">
        <f ca="1">[1]!onepair_E2($G$640)</f>
        <v>surplus</v>
      </c>
      <c r="H645" s="78"/>
    </row>
    <row r="646" spans="1:10" ht="16" thickTop="1" x14ac:dyDescent="0.35"/>
    <row r="648" spans="1:10" x14ac:dyDescent="0.35">
      <c r="A648" s="88" t="s">
        <v>441</v>
      </c>
    </row>
    <row r="649" spans="1:10" x14ac:dyDescent="0.35">
      <c r="B649" s="22" t="s">
        <v>3391</v>
      </c>
      <c r="F649" s="22" t="s">
        <v>3393</v>
      </c>
    </row>
    <row r="650" spans="1:10" x14ac:dyDescent="0.35">
      <c r="A650" s="8">
        <f ca="1">RANDBETWEEN(20,40)*15</f>
        <v>555</v>
      </c>
      <c r="B650" s="2" t="s">
        <v>729</v>
      </c>
      <c r="C650" s="8">
        <f ca="1">C653-C652-C651</f>
        <v>720</v>
      </c>
      <c r="D650" s="2" t="s">
        <v>2577</v>
      </c>
      <c r="F650" s="6" t="s">
        <v>2862</v>
      </c>
      <c r="G650" s="8">
        <f ca="1">ROUND(A653*RANDBETWEEN(30,60)/10,-2)</f>
        <v>23200</v>
      </c>
    </row>
    <row r="651" spans="1:10" x14ac:dyDescent="0.35">
      <c r="A651" s="8">
        <f ca="1">RANDBETWEEN(40,60)*15</f>
        <v>795</v>
      </c>
      <c r="B651" s="2" t="s">
        <v>293</v>
      </c>
      <c r="C651" s="8">
        <f ca="1">ROUND(A653*RANDBETWEEN(20,30)/100,-1)</f>
        <v>1230</v>
      </c>
      <c r="D651" s="2" t="s">
        <v>2876</v>
      </c>
      <c r="F651" s="6" t="s">
        <v>3392</v>
      </c>
      <c r="G651" s="8">
        <f ca="1">G650-G652</f>
        <v>22800</v>
      </c>
    </row>
    <row r="652" spans="1:10" x14ac:dyDescent="0.35">
      <c r="A652" s="99">
        <f ca="1">RANDBETWEEN(15,40)*100</f>
        <v>3200</v>
      </c>
      <c r="B652" s="11" t="s">
        <v>2575</v>
      </c>
      <c r="C652" s="99">
        <f ca="1">ROUND(A653*RANDBETWEEN(30,65)/100,-2)</f>
        <v>2600</v>
      </c>
      <c r="D652" s="11" t="s">
        <v>3390</v>
      </c>
      <c r="F652" s="6" t="s">
        <v>2072</v>
      </c>
      <c r="G652" s="8">
        <f ca="1">ROUND(C652*RANDBETWEEN(100,350)/1000,-2)</f>
        <v>400</v>
      </c>
    </row>
    <row r="653" spans="1:10" x14ac:dyDescent="0.35">
      <c r="A653" s="8">
        <f ca="1">A650+A652+A651</f>
        <v>4550</v>
      </c>
      <c r="B653" s="2" t="s">
        <v>2439</v>
      </c>
      <c r="C653" s="8">
        <f ca="1">A653</f>
        <v>4550</v>
      </c>
      <c r="F653" s="6" t="s">
        <v>2073</v>
      </c>
      <c r="G653" s="8">
        <f ca="1">ROUND(G652*RANDBETWEEN(30,70)/100,-1)</f>
        <v>170</v>
      </c>
    </row>
    <row r="654" spans="1:10" x14ac:dyDescent="0.35">
      <c r="F654" s="6" t="s">
        <v>1608</v>
      </c>
      <c r="G654" s="165">
        <f ca="1">G652-G653</f>
        <v>230</v>
      </c>
    </row>
    <row r="656" spans="1:10" x14ac:dyDescent="0.35">
      <c r="A656" s="407" t="s">
        <v>3826</v>
      </c>
      <c r="B656" s="407"/>
      <c r="C656" s="407"/>
      <c r="E656" s="407" t="s">
        <v>1495</v>
      </c>
      <c r="F656" s="407"/>
      <c r="G656" s="407"/>
      <c r="I656" s="411" t="s">
        <v>440</v>
      </c>
      <c r="J656" s="411"/>
    </row>
    <row r="657" spans="1:12" x14ac:dyDescent="0.35">
      <c r="A657" s="29">
        <f ca="1">RANDBETWEEN(100,180)/1000</f>
        <v>0.106</v>
      </c>
      <c r="B657" s="2" t="s">
        <v>2578</v>
      </c>
      <c r="E657" s="24">
        <f ca="1">A653*(1+A657)</f>
        <v>5032.3</v>
      </c>
      <c r="F657" s="2" t="s">
        <v>177</v>
      </c>
      <c r="I657" s="24">
        <f ca="1">A653*(1+A657)</f>
        <v>5032.3</v>
      </c>
      <c r="J657" s="2" t="s">
        <v>177</v>
      </c>
    </row>
    <row r="658" spans="1:12" x14ac:dyDescent="0.35">
      <c r="A658" s="29">
        <f ca="1">G652/G650</f>
        <v>1.7241379310344827E-2</v>
      </c>
      <c r="B658" s="2" t="s">
        <v>413</v>
      </c>
      <c r="E658" s="10">
        <f ca="1">C652+G654*(1+A657)</f>
        <v>2854.38</v>
      </c>
      <c r="F658" s="2" t="s">
        <v>178</v>
      </c>
      <c r="I658" s="29">
        <f ca="1">RANDBETWEEN(20,30)/1000</f>
        <v>2.8000000000000001E-2</v>
      </c>
      <c r="J658" s="2" t="s">
        <v>2879</v>
      </c>
    </row>
    <row r="659" spans="1:12" x14ac:dyDescent="0.35">
      <c r="A659" s="35">
        <f ca="1">RANDBETWEEN(120,300)/10</f>
        <v>30</v>
      </c>
      <c r="B659" s="2" t="s">
        <v>176</v>
      </c>
      <c r="E659" s="232">
        <f ca="1">E658+C651+C650*(1+A657)</f>
        <v>4880.7</v>
      </c>
      <c r="F659" s="2" t="s">
        <v>414</v>
      </c>
      <c r="I659" s="24">
        <f ca="1">G650*(1+A657)*(G652/G650+I658)</f>
        <v>1160.8576</v>
      </c>
      <c r="J659" s="2" t="s">
        <v>2878</v>
      </c>
    </row>
    <row r="660" spans="1:12" x14ac:dyDescent="0.35">
      <c r="A660" s="2">
        <f ca="1">ROUND(C652/20,-1)</f>
        <v>130</v>
      </c>
      <c r="B660" s="2" t="s">
        <v>2673</v>
      </c>
      <c r="E660" s="8">
        <f ca="1">IF(ABS(E657-E659)&lt;20,"#RECALCULATE",E657-E659)</f>
        <v>151.60000000000036</v>
      </c>
      <c r="F660" s="2" t="s">
        <v>415</v>
      </c>
      <c r="I660" s="24">
        <f ca="1">C652+I659*G654/G652</f>
        <v>3267.4931200000001</v>
      </c>
      <c r="J660" s="2" t="s">
        <v>178</v>
      </c>
    </row>
    <row r="661" spans="1:12" x14ac:dyDescent="0.35">
      <c r="A661" s="27">
        <f ca="1">A659*G652/A660</f>
        <v>92.307692307692307</v>
      </c>
      <c r="B661" s="2" t="s">
        <v>180</v>
      </c>
      <c r="E661" s="8">
        <f ca="1">G652*(1+A657)</f>
        <v>442.40000000000003</v>
      </c>
      <c r="F661" s="2" t="s">
        <v>2878</v>
      </c>
      <c r="I661" s="24">
        <f ca="1">I660+C651+C650*(1+A657)</f>
        <v>5293.8131199999998</v>
      </c>
      <c r="J661" s="2" t="s">
        <v>414</v>
      </c>
    </row>
    <row r="662" spans="1:12" x14ac:dyDescent="0.35">
      <c r="E662" s="10">
        <f ca="1">E659</f>
        <v>4880.7</v>
      </c>
      <c r="F662" s="2" t="str">
        <f ca="1">IF(E660&lt;0,"How much is Total Liabilities if the forecast surplus is paid out as an extraordinary dividend?","How much is Total Assets if the forecast shortfall is not financed with external borrowing?")</f>
        <v>How much is Total Assets if the forecast shortfall is not financed with external borrowing?</v>
      </c>
      <c r="I662" s="24">
        <f ca="1">IF(ABS(I657-I661)&lt;20,"#RECALCULATE",I657-I661)</f>
        <v>-261.51311999999962</v>
      </c>
      <c r="J662" s="2" t="s">
        <v>415</v>
      </c>
    </row>
    <row r="664" spans="1:12" ht="16" thickBot="1" x14ac:dyDescent="0.4">
      <c r="B664" s="120" t="s">
        <v>442</v>
      </c>
      <c r="F664" s="88" t="s">
        <v>444</v>
      </c>
      <c r="J664" s="120" t="s">
        <v>1020</v>
      </c>
    </row>
    <row r="665" spans="1:12" ht="16.5" thickTop="1" thickBot="1" x14ac:dyDescent="0.4">
      <c r="B665" s="76" t="str">
        <f ca="1">[1]!std_ans($C$665)</f>
        <v>C</v>
      </c>
      <c r="C665" s="79" t="str">
        <f ca="1" xml:space="preserve"> "/\" &amp;RANDBETWEEN( 1,120) &amp; "/\" &amp;RANDBETWEEN( 1,120) &amp; "/\" &amp;0.1 &amp; "/\" &amp; E660</f>
        <v>/\79/\17/\0.1/\151.6</v>
      </c>
      <c r="D665" s="80" t="s">
        <v>443</v>
      </c>
      <c r="F665" s="76" t="str">
        <f ca="1">[1]!std_ans($G$665)</f>
        <v>E</v>
      </c>
      <c r="G665" s="79" t="str">
        <f ca="1" xml:space="preserve"> "/\" &amp;RANDBETWEEN( 1,120) &amp; "/\" &amp;RANDBETWEEN( 1,120) &amp; "/\" &amp;0.1 &amp; "/\" &amp; I662</f>
        <v>/\82/\73/\0.1/\-261.51312</v>
      </c>
      <c r="H665" s="80" t="s">
        <v>445</v>
      </c>
      <c r="J665" s="76" t="str">
        <f ca="1">[1]!std_ans($K$665)</f>
        <v>C</v>
      </c>
      <c r="K665" s="79" t="str">
        <f ca="1" xml:space="preserve"> "/\" &amp;RANDBETWEEN( 1,120) &amp; "/\" &amp;RANDBETWEEN( 1,120) &amp; "/\" &amp;0.1 &amp; "/\" &amp; E662</f>
        <v>/\62/\70/\0.1/\4880.7</v>
      </c>
      <c r="L665" s="80" t="s">
        <v>1021</v>
      </c>
    </row>
    <row r="666" spans="1:12" ht="16" thickTop="1" x14ac:dyDescent="0.35">
      <c r="B666" s="110">
        <f ca="1">[1]!stdnum_A($C$665)</f>
        <v>166.76000000000002</v>
      </c>
      <c r="C666" s="82"/>
      <c r="D666" s="77"/>
      <c r="F666" s="110">
        <f ca="1">[1]!stdnum_A($G$665)</f>
        <v>-237.73920000000001</v>
      </c>
      <c r="G666" s="82"/>
      <c r="H666" s="77"/>
      <c r="J666" s="110">
        <f ca="1">[1]!stdnum_A($K$665)</f>
        <v>4437</v>
      </c>
      <c r="K666" s="82"/>
      <c r="L666" s="77"/>
    </row>
    <row r="667" spans="1:12" x14ac:dyDescent="0.35">
      <c r="B667" s="110">
        <f ca="1">[1]!stdnum_B($C$665)</f>
        <v>201.77960000000004</v>
      </c>
      <c r="C667" s="82"/>
      <c r="D667" s="77"/>
      <c r="F667" s="110">
        <f ca="1">[1]!stdnum_B($G$665)</f>
        <v>-196.47867768595037</v>
      </c>
      <c r="G667" s="82"/>
      <c r="H667" s="77"/>
      <c r="J667" s="110">
        <f ca="1">[1]!stdnum_B($K$665)</f>
        <v>5368.77</v>
      </c>
      <c r="K667" s="82"/>
      <c r="L667" s="77"/>
    </row>
    <row r="668" spans="1:12" x14ac:dyDescent="0.35">
      <c r="B668" s="110">
        <f ca="1">[1]!stdnum_C($C$665)</f>
        <v>151.6</v>
      </c>
      <c r="C668" s="82"/>
      <c r="D668" s="77"/>
      <c r="F668" s="110">
        <f ca="1">[1]!stdnum_C($G$665)</f>
        <v>-216.12654545454544</v>
      </c>
      <c r="G668" s="82"/>
      <c r="H668" s="77"/>
      <c r="J668" s="110">
        <f ca="1">[1]!stdnum_C($K$665)</f>
        <v>4880.7</v>
      </c>
      <c r="K668" s="82"/>
      <c r="L668" s="77"/>
    </row>
    <row r="669" spans="1:12" x14ac:dyDescent="0.35">
      <c r="B669" s="110">
        <f ca="1">[1]!stdnum_D($C$665)</f>
        <v>221.95756000000006</v>
      </c>
      <c r="C669" s="82"/>
      <c r="D669" s="77"/>
      <c r="F669" s="110">
        <f ca="1">[1]!stdnum_D($G$665)</f>
        <v>-287.66443200000003</v>
      </c>
      <c r="G669" s="82"/>
      <c r="H669" s="77"/>
      <c r="J669" s="110">
        <f ca="1">[1]!stdnum_D($K$665)</f>
        <v>4033.6363636363631</v>
      </c>
      <c r="K669" s="82"/>
      <c r="L669" s="77"/>
    </row>
    <row r="670" spans="1:12" ht="16" thickBot="1" x14ac:dyDescent="0.4">
      <c r="B670" s="111">
        <f ca="1">[1]!stdnum_E($C$665)</f>
        <v>183.43600000000004</v>
      </c>
      <c r="C670" s="84"/>
      <c r="D670" s="78"/>
      <c r="F670" s="111">
        <f ca="1">[1]!stdnum_E($G$665)</f>
        <v>-261.51312000000001</v>
      </c>
      <c r="G670" s="84"/>
      <c r="H670" s="78"/>
      <c r="J670" s="111">
        <f ca="1">[1]!stdnum_E($K$665)</f>
        <v>5905.6470000000008</v>
      </c>
      <c r="K670" s="84"/>
      <c r="L670" s="78"/>
    </row>
    <row r="671" spans="1:12" ht="16" thickTop="1" x14ac:dyDescent="0.35"/>
    <row r="673" spans="1:5" x14ac:dyDescent="0.35">
      <c r="A673" s="88" t="s">
        <v>3435</v>
      </c>
    </row>
    <row r="674" spans="1:5" x14ac:dyDescent="0.35">
      <c r="B674" s="2" t="s">
        <v>576</v>
      </c>
    </row>
    <row r="676" spans="1:5" x14ac:dyDescent="0.35">
      <c r="A676" s="20">
        <f ca="1">RANDBETWEEN(12,24)*100</f>
        <v>2000</v>
      </c>
      <c r="B676" s="2" t="s">
        <v>577</v>
      </c>
      <c r="D676" s="20">
        <f ca="1">ROUND(A676*(1+RANDBETWEEN(16,25)/100)^(IF(RANDBETWEEN(0,1)=0,1,-1)),-2)</f>
        <v>1700</v>
      </c>
      <c r="E676" s="2" t="s">
        <v>578</v>
      </c>
    </row>
    <row r="677" spans="1:5" x14ac:dyDescent="0.35">
      <c r="A677" s="20">
        <f ca="1">RANDBETWEEN(30,50)*100</f>
        <v>4400</v>
      </c>
      <c r="B677" s="2" t="s">
        <v>2575</v>
      </c>
      <c r="D677" s="20">
        <f ca="1">RANDBETWEEN(10,15)*100</f>
        <v>1000</v>
      </c>
      <c r="E677" s="2" t="s">
        <v>579</v>
      </c>
    </row>
    <row r="678" spans="1:5" x14ac:dyDescent="0.35">
      <c r="A678" s="20"/>
      <c r="D678" s="20">
        <f ca="1">A679-D677-D676</f>
        <v>3700</v>
      </c>
      <c r="E678" s="2" t="s">
        <v>3390</v>
      </c>
    </row>
    <row r="679" spans="1:5" x14ac:dyDescent="0.35">
      <c r="A679" s="20">
        <f ca="1">A676+A677</f>
        <v>6400</v>
      </c>
      <c r="B679" s="2" t="s">
        <v>2743</v>
      </c>
      <c r="D679" s="21">
        <f ca="1">D676+D677+D678</f>
        <v>6400</v>
      </c>
      <c r="E679" s="2" t="s">
        <v>2743</v>
      </c>
    </row>
    <row r="682" spans="1:5" x14ac:dyDescent="0.35">
      <c r="A682" s="20">
        <f ca="1">A679*RANDBETWEEN(30,60)/10</f>
        <v>25600</v>
      </c>
      <c r="B682" s="2" t="s">
        <v>770</v>
      </c>
      <c r="D682" s="14">
        <f ca="1">RANDBETWEEN(60,120)/1000</f>
        <v>9.4E-2</v>
      </c>
      <c r="E682" s="2" t="s">
        <v>1161</v>
      </c>
    </row>
    <row r="683" spans="1:5" x14ac:dyDescent="0.35">
      <c r="A683" s="20">
        <f ca="1">A682*RANDBETWEEN(35,90)/1000</f>
        <v>2073.6</v>
      </c>
      <c r="B683" s="2" t="s">
        <v>2072</v>
      </c>
      <c r="D683" s="20">
        <f ca="1">D682*A676</f>
        <v>188</v>
      </c>
      <c r="E683" s="138" t="s">
        <v>1640</v>
      </c>
    </row>
    <row r="684" spans="1:5" x14ac:dyDescent="0.35">
      <c r="A684" s="20">
        <f ca="1">A683*RANDBETWEEN(6,16)*5/100</f>
        <v>1140.48</v>
      </c>
      <c r="B684" s="2" t="s">
        <v>2073</v>
      </c>
      <c r="D684" s="20">
        <f ca="1">D682*D676+(1+D682)*(A683-A684)</f>
        <v>1180.63328</v>
      </c>
      <c r="E684" s="138" t="s">
        <v>1641</v>
      </c>
    </row>
    <row r="685" spans="1:5" x14ac:dyDescent="0.35">
      <c r="D685" s="20">
        <f ca="1">ABS(D683-D684)</f>
        <v>992.63328000000001</v>
      </c>
      <c r="E685" s="2" t="s">
        <v>2849</v>
      </c>
    </row>
    <row r="686" spans="1:5" ht="16" thickBot="1" x14ac:dyDescent="0.4"/>
    <row r="687" spans="1:5" ht="16.5" thickTop="1" thickBot="1" x14ac:dyDescent="0.4">
      <c r="B687" s="76" t="str">
        <f ca="1">[1]!std_ans($C$687)</f>
        <v>B</v>
      </c>
      <c r="C687" s="79" t="str">
        <f ca="1" xml:space="preserve"> "/\" &amp;RANDBETWEEN( 1,120) &amp; "/\" &amp;RANDBETWEEN( 1,120) &amp; "/\" &amp;0.1 &amp; "/\" &amp; D685</f>
        <v>/\76/\58/\0.1/\992.63328</v>
      </c>
      <c r="D687" s="80" t="s">
        <v>3436</v>
      </c>
    </row>
    <row r="688" spans="1:5" ht="16" thickTop="1" x14ac:dyDescent="0.35">
      <c r="B688" s="110">
        <f ca="1">[1]!stdnum_A($C$687)</f>
        <v>1201.0862688000002</v>
      </c>
      <c r="C688" s="82"/>
      <c r="D688" s="77"/>
    </row>
    <row r="689" spans="1:7" x14ac:dyDescent="0.35">
      <c r="B689" s="110">
        <f ca="1">[1]!stdnum_B($C$687)</f>
        <v>992.63328000000001</v>
      </c>
      <c r="C689" s="82"/>
      <c r="D689" s="77"/>
    </row>
    <row r="690" spans="1:7" x14ac:dyDescent="0.35">
      <c r="B690" s="110">
        <f ca="1">[1]!stdnum_C($C$687)</f>
        <v>1091.896608</v>
      </c>
      <c r="C690" s="82"/>
      <c r="D690" s="77"/>
    </row>
    <row r="691" spans="1:7" x14ac:dyDescent="0.35">
      <c r="B691" s="110">
        <f ca="1">[1]!stdnum_D($C$687)</f>
        <v>820.35808264462798</v>
      </c>
      <c r="C691" s="82"/>
      <c r="D691" s="77"/>
    </row>
    <row r="692" spans="1:7" ht="16" thickBot="1" x14ac:dyDescent="0.4">
      <c r="B692" s="111">
        <f ca="1">[1]!stdnum_E($C$687)</f>
        <v>902.39389090909094</v>
      </c>
      <c r="C692" s="84"/>
      <c r="D692" s="78"/>
    </row>
    <row r="693" spans="1:7" ht="16" thickTop="1" x14ac:dyDescent="0.35"/>
    <row r="695" spans="1:7" x14ac:dyDescent="0.35">
      <c r="A695" s="88" t="s">
        <v>2115</v>
      </c>
    </row>
    <row r="697" spans="1:7" x14ac:dyDescent="0.35">
      <c r="B697" s="22" t="s">
        <v>3391</v>
      </c>
    </row>
    <row r="698" spans="1:7" x14ac:dyDescent="0.35">
      <c r="A698" s="8">
        <f ca="1">A700-A699</f>
        <v>2300</v>
      </c>
      <c r="B698" s="2" t="s">
        <v>52</v>
      </c>
      <c r="C698" s="8">
        <f ca="1">C700-C699</f>
        <v>700</v>
      </c>
      <c r="D698" s="2" t="s">
        <v>2876</v>
      </c>
    </row>
    <row r="699" spans="1:7" x14ac:dyDescent="0.35">
      <c r="A699" s="98">
        <f ca="1">ROUND(A700*RANDBETWEEN(50,80)/100,-2)</f>
        <v>5000</v>
      </c>
      <c r="B699" s="11" t="s">
        <v>2575</v>
      </c>
      <c r="C699" s="99">
        <f ca="1">ROUND(A700*RANDBETWEEN(60,90)/100,-2)</f>
        <v>6600</v>
      </c>
      <c r="D699" s="11" t="s">
        <v>3390</v>
      </c>
    </row>
    <row r="700" spans="1:7" x14ac:dyDescent="0.35">
      <c r="A700" s="8">
        <f ca="1">RANDBETWEEN(50,95)*100</f>
        <v>7300</v>
      </c>
      <c r="B700" s="2" t="s">
        <v>2439</v>
      </c>
      <c r="C700" s="8">
        <f ca="1">A700</f>
        <v>7300</v>
      </c>
    </row>
    <row r="702" spans="1:7" x14ac:dyDescent="0.35">
      <c r="A702" s="319">
        <f ca="1">RANDBETWEEN(20,40)/10</f>
        <v>4</v>
      </c>
      <c r="B702" s="2" t="s">
        <v>3093</v>
      </c>
      <c r="D702" s="10">
        <f ca="1">A700*A702</f>
        <v>29200</v>
      </c>
      <c r="F702" s="10">
        <f ca="1">D705+A706</f>
        <v>1200</v>
      </c>
      <c r="G702" s="2" t="s">
        <v>3256</v>
      </c>
    </row>
    <row r="703" spans="1:7" x14ac:dyDescent="0.35">
      <c r="A703" s="14">
        <f ca="1">RANDBETWEEN(40,110)/1000</f>
        <v>9.1999999999999998E-2</v>
      </c>
      <c r="B703" s="2" t="s">
        <v>88</v>
      </c>
      <c r="F703" s="8">
        <f ca="1">D702*A703*(1-A704)</f>
        <v>671.6</v>
      </c>
      <c r="G703" s="2" t="s">
        <v>3554</v>
      </c>
    </row>
    <row r="704" spans="1:7" x14ac:dyDescent="0.35">
      <c r="A704" s="12">
        <f ca="1">5*RANDBETWEEN(8,16)/100</f>
        <v>0.75</v>
      </c>
      <c r="B704" s="2" t="s">
        <v>89</v>
      </c>
      <c r="F704" s="10">
        <f ca="1">C699+F703+F702</f>
        <v>8471.6</v>
      </c>
      <c r="G704" s="2" t="s">
        <v>3098</v>
      </c>
    </row>
    <row r="705" spans="1:12" x14ac:dyDescent="0.35">
      <c r="A705" s="12">
        <f ca="1">RANDBETWEEN(15,25)/100</f>
        <v>0.18</v>
      </c>
      <c r="B705" s="2" t="s">
        <v>90</v>
      </c>
      <c r="D705" s="10">
        <f ca="1">A705*A699</f>
        <v>900</v>
      </c>
      <c r="F705" s="10">
        <f ca="1">C698+(F702-F703)</f>
        <v>1228.4000000000001</v>
      </c>
      <c r="G705" s="2" t="s">
        <v>2464</v>
      </c>
    </row>
    <row r="706" spans="1:12" x14ac:dyDescent="0.35">
      <c r="A706" s="10">
        <f ca="1">RANDBETWEEN(2,6)*100+ ROUND(MAX(0,F703-D705),-2)</f>
        <v>300</v>
      </c>
      <c r="B706" s="2" t="s">
        <v>91</v>
      </c>
      <c r="F706" s="27">
        <f ca="1">A707*C699/A708</f>
        <v>38.5</v>
      </c>
      <c r="G706" s="2" t="s">
        <v>3096</v>
      </c>
    </row>
    <row r="707" spans="1:12" x14ac:dyDescent="0.35">
      <c r="A707" s="6">
        <f ca="1">RANDBETWEEN(7,40)/10</f>
        <v>3.5</v>
      </c>
      <c r="B707" s="2" t="s">
        <v>3094</v>
      </c>
      <c r="F707" s="3">
        <f ca="1">IF(F702/F706&lt;15,"#RECALCULATE",ROUNDUP(F702/F706,0))</f>
        <v>32</v>
      </c>
      <c r="G707" s="2" t="s">
        <v>3097</v>
      </c>
    </row>
    <row r="708" spans="1:12" x14ac:dyDescent="0.35">
      <c r="A708" s="2">
        <f ca="1">50*RANDBETWEEN(5,12)</f>
        <v>600</v>
      </c>
      <c r="B708" s="2" t="s">
        <v>3095</v>
      </c>
      <c r="F708" s="13">
        <f ca="1">A707*F704/(A708+F707)</f>
        <v>46.915506329113924</v>
      </c>
      <c r="G708" s="2" t="s">
        <v>3099</v>
      </c>
    </row>
    <row r="709" spans="1:12" x14ac:dyDescent="0.35">
      <c r="F709" s="27">
        <f ca="1">D702*A703*A704/(A708+F707)</f>
        <v>3.1879746835443039</v>
      </c>
      <c r="G709" s="2" t="s">
        <v>3100</v>
      </c>
    </row>
    <row r="710" spans="1:12" x14ac:dyDescent="0.35">
      <c r="F710" s="14">
        <f ca="1">(F708+F709)/F706-1</f>
        <v>0.30138911721190209</v>
      </c>
      <c r="G710" s="2" t="s">
        <v>378</v>
      </c>
    </row>
    <row r="711" spans="1:12" ht="16" thickBot="1" x14ac:dyDescent="0.4">
      <c r="B711" s="88" t="s">
        <v>2116</v>
      </c>
      <c r="F711" s="88" t="s">
        <v>1007</v>
      </c>
      <c r="J711" s="88" t="s">
        <v>1006</v>
      </c>
    </row>
    <row r="712" spans="1:12" ht="16.5" thickTop="1" thickBot="1" x14ac:dyDescent="0.4">
      <c r="B712" s="76" t="str">
        <f ca="1">[1]!std_ans($C$712)</f>
        <v>A</v>
      </c>
      <c r="C712" s="79" t="str">
        <f ca="1" xml:space="preserve"> "/\" &amp;RANDBETWEEN( 1,120) &amp; "/\" &amp;RANDBETWEEN( 1,120) &amp; "/\" &amp;0.1 &amp; "/\" &amp; F704</f>
        <v>/\24/\76/\0.1/\8471.6</v>
      </c>
      <c r="D712" s="80" t="s">
        <v>3101</v>
      </c>
      <c r="F712" s="76" t="str">
        <f ca="1">[1]!std_ans($G$712)</f>
        <v>D</v>
      </c>
      <c r="G712" s="79" t="str">
        <f ca="1" xml:space="preserve"> "/\" &amp;RANDBETWEEN( 1,120) &amp; "/\" &amp;RANDBETWEEN( 1,120) &amp; "/\" &amp;0.16 &amp; "/\" &amp; F707</f>
        <v>/\57/\21/\0.16/\32</v>
      </c>
      <c r="H712" s="80" t="s">
        <v>3102</v>
      </c>
      <c r="J712" s="76" t="str">
        <f ca="1">[1]!std_ans($K$712)</f>
        <v>B</v>
      </c>
      <c r="K712" s="79" t="str">
        <f ca="1" xml:space="preserve"> "/\" &amp;RANDBETWEEN( 1,120) &amp; "/\" &amp;RANDBETWEEN( 1,120) &amp; "/\" &amp;0.14 &amp; "/\" &amp; F710</f>
        <v>/\78/\8/\0.14/\0.301389117211902</v>
      </c>
      <c r="L712" s="80" t="s">
        <v>3103</v>
      </c>
    </row>
    <row r="713" spans="1:12" ht="16" thickTop="1" x14ac:dyDescent="0.35">
      <c r="B713" s="101">
        <f ca="1">[1]!stdnum_A($C$712)</f>
        <v>8471.6</v>
      </c>
      <c r="C713" s="82"/>
      <c r="D713" s="77"/>
      <c r="F713" s="74">
        <f ca="1">[1]!stdnum_A($G$712)</f>
        <v>43.059199999999997</v>
      </c>
      <c r="G713" s="82"/>
      <c r="H713" s="77"/>
      <c r="J713" s="92">
        <f ca="1">[1]!stdnum_A($K$712)</f>
        <v>0.50903421162847295</v>
      </c>
      <c r="K713" s="82"/>
      <c r="L713" s="77"/>
    </row>
    <row r="714" spans="1:12" x14ac:dyDescent="0.35">
      <c r="B714" s="101">
        <f ca="1">[1]!stdnum_B($C$712)</f>
        <v>7001.3223140495866</v>
      </c>
      <c r="C714" s="82"/>
      <c r="D714" s="77"/>
      <c r="F714" s="74">
        <f ca="1">[1]!stdnum_B($G$712)</f>
        <v>57.940459519999983</v>
      </c>
      <c r="G714" s="82"/>
      <c r="H714" s="77"/>
      <c r="J714" s="92">
        <f ca="1">[1]!stdnum_B($K$712)</f>
        <v>0.30138911721190198</v>
      </c>
      <c r="K714" s="82"/>
      <c r="L714" s="77"/>
    </row>
    <row r="715" spans="1:12" x14ac:dyDescent="0.35">
      <c r="B715" s="101">
        <f ca="1">[1]!stdnum_C($C$712)</f>
        <v>9318.760000000002</v>
      </c>
      <c r="C715" s="82"/>
      <c r="D715" s="77"/>
      <c r="F715" s="74">
        <f ca="1">[1]!stdnum_C($G$712)</f>
        <v>37.119999999999997</v>
      </c>
      <c r="G715" s="82"/>
      <c r="H715" s="77"/>
      <c r="J715" s="92">
        <f ca="1">[1]!stdnum_C($K$712)</f>
        <v>0.44652123827059026</v>
      </c>
      <c r="K715" s="82"/>
      <c r="L715" s="77"/>
    </row>
    <row r="716" spans="1:12" x14ac:dyDescent="0.35">
      <c r="B716" s="101">
        <f ca="1">[1]!stdnum_D($C$712)</f>
        <v>7701.454545454546</v>
      </c>
      <c r="C716" s="82"/>
      <c r="D716" s="77"/>
      <c r="F716" s="74">
        <f ca="1">[1]!stdnum_D($G$712)</f>
        <v>32</v>
      </c>
      <c r="G716" s="82"/>
      <c r="H716" s="77"/>
      <c r="J716" s="92">
        <f ca="1">[1]!stdnum_D($K$712)</f>
        <v>0.34358359362156832</v>
      </c>
      <c r="K716" s="82"/>
      <c r="L716" s="77"/>
    </row>
    <row r="717" spans="1:12" ht="16" thickBot="1" x14ac:dyDescent="0.4">
      <c r="B717" s="102">
        <f ca="1">[1]!stdnum_E($C$712)</f>
        <v>6364.8384673178043</v>
      </c>
      <c r="C717" s="84"/>
      <c r="D717" s="78"/>
      <c r="F717" s="75">
        <f ca="1">[1]!stdnum_E($G$712)</f>
        <v>49.948671999999988</v>
      </c>
      <c r="G717" s="84"/>
      <c r="H717" s="78"/>
      <c r="J717" s="93">
        <f ca="1">[1]!stdnum_E($K$712)</f>
        <v>0.39168529672858793</v>
      </c>
      <c r="K717" s="84"/>
      <c r="L717" s="78"/>
    </row>
    <row r="718" spans="1:12" ht="16" thickTop="1" x14ac:dyDescent="0.35"/>
    <row r="719" spans="1:12" ht="16" thickBot="1" x14ac:dyDescent="0.4">
      <c r="B719" s="88" t="s">
        <v>1008</v>
      </c>
    </row>
    <row r="720" spans="1:12" ht="16.5" thickTop="1" thickBot="1" x14ac:dyDescent="0.4">
      <c r="B720" s="76" t="str">
        <f ca="1">[1]!alpha_ans($C$720)</f>
        <v>A</v>
      </c>
      <c r="C720" s="79" t="str">
        <f ca="1" xml:space="preserve"> "/\" &amp;RANDBETWEEN( 1,5) &amp; "/\" &amp;RANDBETWEEN( 1,120) &amp; "/\" &amp;RANDBETWEEN( 1,6) &amp; "/\" &amp;RANDBETWEEN( 1,2) &amp; "/\" &amp; F707 &amp; "/\" &amp; "Mask" &amp; "/\" &amp; "Mask" &amp; "/\" &amp; F704 &amp; "/\" &amp; "Mask"</f>
        <v>/\1/\101/\3/\2/\32/\Mask/\Mask/\8471.6/\Mask</v>
      </c>
      <c r="D720" s="80" t="s">
        <v>1009</v>
      </c>
    </row>
    <row r="721" spans="1:10" ht="16" thickTop="1" x14ac:dyDescent="0.35">
      <c r="B721" s="74">
        <f ca="1">[1]!onepair_A($C$720)</f>
        <v>32</v>
      </c>
      <c r="C721" s="142">
        <f ca="1">[1]!onepair_A2($C$720)</f>
        <v>8471.6</v>
      </c>
      <c r="D721" s="77"/>
    </row>
    <row r="722" spans="1:10" x14ac:dyDescent="0.35">
      <c r="B722" s="74">
        <f ca="1">[1]!onepair_B($C$720)</f>
        <v>32</v>
      </c>
      <c r="C722" s="142">
        <f ca="1">[1]!onepair_B2($C$720)</f>
        <v>9742.34</v>
      </c>
      <c r="D722" s="77"/>
    </row>
    <row r="723" spans="1:10" x14ac:dyDescent="0.35">
      <c r="B723" s="74">
        <f ca="1">[1]!onepair_C($C$720)</f>
        <v>36.799999999999997</v>
      </c>
      <c r="C723" s="142">
        <f ca="1">[1]!onepair_C2($C$720)</f>
        <v>8471.6</v>
      </c>
      <c r="D723" s="77"/>
    </row>
    <row r="724" spans="1:10" x14ac:dyDescent="0.35">
      <c r="B724" s="74">
        <f ca="1">[1]!onepair_D($C$720)</f>
        <v>27.826086956521699</v>
      </c>
      <c r="C724" s="142">
        <f ca="1">[1]!onepair_D2($C$720)</f>
        <v>8471.6</v>
      </c>
      <c r="D724" s="77"/>
    </row>
    <row r="725" spans="1:10" ht="16" thickBot="1" x14ac:dyDescent="0.4">
      <c r="B725" s="75">
        <f ca="1">[1]!onepair_E($C$720)</f>
        <v>27.826086956521699</v>
      </c>
      <c r="C725" s="320">
        <f ca="1">[1]!onepair_E2($C$720)</f>
        <v>9742.34</v>
      </c>
      <c r="D725" s="78"/>
    </row>
    <row r="726" spans="1:10" ht="16" thickTop="1" x14ac:dyDescent="0.35"/>
    <row r="728" spans="1:10" x14ac:dyDescent="0.35">
      <c r="A728" s="88" t="s">
        <v>1852</v>
      </c>
    </row>
    <row r="729" spans="1:10" x14ac:dyDescent="0.35">
      <c r="A729" s="10">
        <f ca="1">RANDBETWEEN(5,20)*5000</f>
        <v>90000</v>
      </c>
      <c r="B729" s="2" t="s">
        <v>81</v>
      </c>
      <c r="F729" s="10">
        <f ca="1">(A729/A730)/(1+A733)</f>
        <v>11526.639344262296</v>
      </c>
      <c r="G729" s="2" t="s">
        <v>3442</v>
      </c>
      <c r="I729" s="6" t="s">
        <v>1657</v>
      </c>
      <c r="J729" s="2" t="str">
        <f ca="1">IF(A734&gt;1,"smaller.","bigger.")</f>
        <v>bigger.</v>
      </c>
    </row>
    <row r="730" spans="1:10" x14ac:dyDescent="0.35">
      <c r="A730" s="319">
        <f ca="1">RANDBETWEEN(11,40)/10</f>
        <v>3.2</v>
      </c>
      <c r="B730" s="2" t="s">
        <v>3441</v>
      </c>
      <c r="F730" s="10">
        <f ca="1">A729*A731</f>
        <v>3869.9999999999995</v>
      </c>
      <c r="G730" s="2" t="s">
        <v>3443</v>
      </c>
      <c r="I730" s="6" t="s">
        <v>1658</v>
      </c>
      <c r="J730" s="2" t="str">
        <f ca="1">IF(A734&lt;1,"smaller.","bigger.")</f>
        <v>smaller.</v>
      </c>
    </row>
    <row r="731" spans="1:10" x14ac:dyDescent="0.35">
      <c r="A731" s="14">
        <f ca="1">RANDBETWEEN(20,70)/1000</f>
        <v>4.2999999999999997E-2</v>
      </c>
      <c r="B731" s="2" t="s">
        <v>88</v>
      </c>
      <c r="F731" s="10">
        <f ca="1">F730*A732</f>
        <v>2321.9999999999995</v>
      </c>
      <c r="G731" s="2" t="s">
        <v>506</v>
      </c>
    </row>
    <row r="732" spans="1:10" x14ac:dyDescent="0.35">
      <c r="A732" s="12">
        <f ca="1">5*RANDBETWEEN(10,16)/100</f>
        <v>0.6</v>
      </c>
      <c r="B732" s="2" t="s">
        <v>89</v>
      </c>
      <c r="D732" s="10"/>
      <c r="F732" s="10">
        <f ca="1">F729+F730-F731</f>
        <v>13074.639344262296</v>
      </c>
      <c r="G732" s="2" t="s">
        <v>507</v>
      </c>
    </row>
    <row r="733" spans="1:10" x14ac:dyDescent="0.35">
      <c r="A733" s="12">
        <f ca="1">3*RANDBETWEEN(25,60)/100</f>
        <v>1.44</v>
      </c>
      <c r="B733" s="2" t="s">
        <v>1</v>
      </c>
      <c r="F733" s="14">
        <f ca="1">F730/F729</f>
        <v>0.33574399999999993</v>
      </c>
      <c r="G733" s="2" t="s">
        <v>508</v>
      </c>
    </row>
    <row r="734" spans="1:10" x14ac:dyDescent="0.35">
      <c r="A734" s="321">
        <f ca="1">ROUND(IF(C734=1,(1+RANDBETWEEN(8,13)/100)^(IF(RANDBETWEEN(0,1)=0,1,-1))*C734,C734),2)</f>
        <v>0.95</v>
      </c>
      <c r="B734" s="2" t="s">
        <v>3094</v>
      </c>
      <c r="C734" s="2">
        <f ca="1">5*RANDBETWEEN(10,30)/100</f>
        <v>0.95</v>
      </c>
      <c r="F734" s="14">
        <f ca="1">(F731+A734*(F730-F731))/(A734*F729)</f>
        <v>0.34634644210526311</v>
      </c>
      <c r="G734" s="2" t="s">
        <v>378</v>
      </c>
    </row>
    <row r="735" spans="1:10" ht="16" thickBot="1" x14ac:dyDescent="0.4">
      <c r="B735" s="88" t="s">
        <v>1656</v>
      </c>
      <c r="F735" s="88" t="s">
        <v>457</v>
      </c>
    </row>
    <row r="736" spans="1:10" ht="16.5" thickTop="1" thickBot="1" x14ac:dyDescent="0.4">
      <c r="B736" s="76" t="str">
        <f ca="1">[1]!alpha_ans($C$736)</f>
        <v>E</v>
      </c>
      <c r="C736" s="79" t="str">
        <f ca="1" xml:space="preserve"> "/\" &amp;RANDBETWEEN( 1,5) &amp; "/\" &amp;RANDBETWEEN( 1,120) &amp; "/\" &amp;RANDBETWEEN( 1,6) &amp; "/\" &amp;RANDBETWEEN( 1,2) &amp; "/\" &amp; F733 &amp; "/\" &amp; "Mask" &amp; "/\" &amp; "Mask" &amp; "/\" &amp; F734 &amp; "/\" &amp; "Mask"</f>
        <v>/\5/\38/\1/\2/\0.335744/\Mask/\Mask/\0.346346442105263/\Mask</v>
      </c>
      <c r="D736" s="80" t="s">
        <v>509</v>
      </c>
      <c r="F736" s="76" t="str">
        <f ca="1">[1]!alpha_ans($G$736)</f>
        <v>E</v>
      </c>
      <c r="G736" s="79" t="str">
        <f ca="1" xml:space="preserve"> "/\" &amp;RANDBETWEEN( 1,5) &amp; "/\" &amp;RANDBETWEEN( 1,120) &amp; "/\" &amp;RANDBETWEEN( 1,6) &amp; "/\" &amp;RANDBETWEEN( 1,2) &amp; "/\" &amp; F733 &amp; "/\" &amp; "Mask" &amp; "/\" &amp; "Mask" &amp; "/\" &amp; J729 &amp; "/\" &amp; J730</f>
        <v>/\5/\47/\4/\2/\0.335744/\Mask/\Mask/\bigger./\smaller.</v>
      </c>
      <c r="H736" s="80" t="s">
        <v>3787</v>
      </c>
    </row>
    <row r="737" spans="1:8" ht="16" thickTop="1" x14ac:dyDescent="0.35">
      <c r="B737" s="92">
        <f ca="1">[1]!onepair_A($C$736)</f>
        <v>0.38610559999999999</v>
      </c>
      <c r="C737" s="242">
        <f ca="1">[1]!onepair_A2($C$736)</f>
        <v>0.346346442105263</v>
      </c>
      <c r="D737" s="77"/>
      <c r="F737" s="92">
        <f ca="1">[1]!onepair_A($G$736)</f>
        <v>0.38610559999999999</v>
      </c>
      <c r="G737" s="82" t="str">
        <f ca="1">[1]!onepair_A2($G$736)</f>
        <v>bigger.</v>
      </c>
      <c r="H737" s="77"/>
    </row>
    <row r="738" spans="1:8" x14ac:dyDescent="0.35">
      <c r="B738" s="92">
        <f ca="1">[1]!onepair_B($C$736)</f>
        <v>0.44402143999999999</v>
      </c>
      <c r="C738" s="242">
        <f ca="1">[1]!onepair_B2($C$736)</f>
        <v>0.346346442105263</v>
      </c>
      <c r="D738" s="77"/>
      <c r="F738" s="92">
        <f ca="1">[1]!onepair_B($G$736)</f>
        <v>0.29195130434782601</v>
      </c>
      <c r="G738" s="82" t="str">
        <f ca="1">[1]!onepair_B2($G$736)</f>
        <v>smaller.</v>
      </c>
      <c r="H738" s="77"/>
    </row>
    <row r="739" spans="1:8" x14ac:dyDescent="0.35">
      <c r="B739" s="92">
        <f ca="1">[1]!onepair_C($C$736)</f>
        <v>0.33574399999999999</v>
      </c>
      <c r="C739" s="242">
        <f ca="1">[1]!onepair_C2($C$736)</f>
        <v>0.39829840842105202</v>
      </c>
      <c r="D739" s="77"/>
      <c r="F739" s="92">
        <f ca="1">[1]!onepair_C($G$736)</f>
        <v>0.29195130434782601</v>
      </c>
      <c r="G739" s="82" t="str">
        <f ca="1">[1]!onepair_C2($G$736)</f>
        <v>bigger.</v>
      </c>
      <c r="H739" s="77"/>
    </row>
    <row r="740" spans="1:8" x14ac:dyDescent="0.35">
      <c r="B740" s="92">
        <f ca="1">[1]!onepair_D($C$736)</f>
        <v>0.44402143999999999</v>
      </c>
      <c r="C740" s="242">
        <f ca="1">[1]!onepair_D2($C$736)</f>
        <v>0.39829840842105202</v>
      </c>
      <c r="D740" s="77"/>
      <c r="F740" s="92">
        <f ca="1">[1]!onepair_D($G$736)</f>
        <v>0.33574399999999999</v>
      </c>
      <c r="G740" s="82" t="str">
        <f ca="1">[1]!onepair_D2($G$736)</f>
        <v>smaller.</v>
      </c>
      <c r="H740" s="77"/>
    </row>
    <row r="741" spans="1:8" ht="16" thickBot="1" x14ac:dyDescent="0.4">
      <c r="B741" s="93">
        <f ca="1">[1]!onepair_E($C$736)</f>
        <v>0.33574399999999999</v>
      </c>
      <c r="C741" s="299">
        <f ca="1">[1]!onepair_E2($C$736)</f>
        <v>0.346346442105263</v>
      </c>
      <c r="D741" s="78"/>
      <c r="F741" s="93">
        <f ca="1">[1]!onepair_E($G$736)</f>
        <v>0.33574399999999999</v>
      </c>
      <c r="G741" s="84" t="str">
        <f ca="1">[1]!onepair_E2($G$736)</f>
        <v>bigger.</v>
      </c>
      <c r="H741" s="78"/>
    </row>
    <row r="742" spans="1:8" ht="16" thickTop="1" x14ac:dyDescent="0.35"/>
    <row r="744" spans="1:8" x14ac:dyDescent="0.35">
      <c r="A744" s="88" t="s">
        <v>1388</v>
      </c>
    </row>
    <row r="745" spans="1:8" x14ac:dyDescent="0.35">
      <c r="A745" s="10">
        <f ca="1">RANDBETWEEN(5,20)*4</f>
        <v>28</v>
      </c>
      <c r="B745" s="2" t="s">
        <v>2649</v>
      </c>
      <c r="G745" s="329">
        <f ca="1">A747*A746*A745</f>
        <v>194.88</v>
      </c>
      <c r="H745" s="2" t="s">
        <v>2651</v>
      </c>
    </row>
    <row r="746" spans="1:8" x14ac:dyDescent="0.35">
      <c r="A746" s="328">
        <f ca="1">RANDBETWEEN(11,40)*10</f>
        <v>290</v>
      </c>
      <c r="B746" s="2" t="s">
        <v>3095</v>
      </c>
    </row>
    <row r="747" spans="1:8" x14ac:dyDescent="0.35">
      <c r="A747" s="14">
        <f ca="1">RANDBETWEEN(20,70)/1000</f>
        <v>2.4E-2</v>
      </c>
      <c r="B747" s="2" t="s">
        <v>2650</v>
      </c>
    </row>
    <row r="748" spans="1:8" ht="16" thickBot="1" x14ac:dyDescent="0.4"/>
    <row r="749" spans="1:8" ht="16.5" thickTop="1" thickBot="1" x14ac:dyDescent="0.4">
      <c r="B749" s="76" t="str">
        <f ca="1">[1]!std_ans($C$749)</f>
        <v>C</v>
      </c>
      <c r="C749" s="79" t="str">
        <f ca="1" xml:space="preserve"> "/\" &amp;RANDBETWEEN( 1,120) &amp; "/\" &amp;RANDBETWEEN( 1,120) &amp; "/\" &amp;0.1 &amp; "/\" &amp; G745</f>
        <v>/\116/\35/\0.1/\194.88</v>
      </c>
      <c r="D749" s="80" t="s">
        <v>2652</v>
      </c>
    </row>
    <row r="750" spans="1:8" ht="16" thickTop="1" x14ac:dyDescent="0.35">
      <c r="B750" s="300">
        <f ca="1">[1]!stdnum_A($C$749)</f>
        <v>235.80480000000003</v>
      </c>
      <c r="C750" s="82"/>
      <c r="D750" s="77"/>
    </row>
    <row r="751" spans="1:8" x14ac:dyDescent="0.35">
      <c r="B751" s="300">
        <f ca="1">[1]!stdnum_B($C$749)</f>
        <v>177.16363636363636</v>
      </c>
      <c r="C751" s="82"/>
      <c r="D751" s="77"/>
    </row>
    <row r="752" spans="1:8" x14ac:dyDescent="0.35">
      <c r="B752" s="300">
        <f ca="1">[1]!stdnum_C($C$749)</f>
        <v>194.88</v>
      </c>
      <c r="C752" s="82"/>
      <c r="D752" s="77"/>
    </row>
    <row r="753" spans="1:8" x14ac:dyDescent="0.35">
      <c r="B753" s="300">
        <f ca="1">[1]!stdnum_D($C$749)</f>
        <v>259.38528000000008</v>
      </c>
      <c r="C753" s="82"/>
      <c r="D753" s="77"/>
    </row>
    <row r="754" spans="1:8" ht="16" thickBot="1" x14ac:dyDescent="0.4">
      <c r="B754" s="301">
        <f ca="1">[1]!stdnum_E($C$749)</f>
        <v>214.36800000000002</v>
      </c>
      <c r="C754" s="84"/>
      <c r="D754" s="78"/>
    </row>
    <row r="755" spans="1:8" ht="16" thickTop="1" x14ac:dyDescent="0.35"/>
    <row r="757" spans="1:8" x14ac:dyDescent="0.35">
      <c r="A757" s="88" t="s">
        <v>2622</v>
      </c>
    </row>
    <row r="758" spans="1:8" x14ac:dyDescent="0.35">
      <c r="A758" s="20">
        <f ca="1">RANDBETWEEN(12,24)*1000</f>
        <v>17000</v>
      </c>
      <c r="B758" s="2" t="s">
        <v>2623</v>
      </c>
      <c r="E758" s="115">
        <f ca="1">A760/A758</f>
        <v>1.7058823529411764</v>
      </c>
      <c r="F758" s="2" t="s">
        <v>3001</v>
      </c>
    </row>
    <row r="759" spans="1:8" x14ac:dyDescent="0.35">
      <c r="A759" s="20">
        <f ca="1">IF(C759=A758,C759+2000*(IF(RANDBETWEEN(0,1)=0,1,-1)),C759)</f>
        <v>12000</v>
      </c>
      <c r="B759" s="2" t="s">
        <v>2624</v>
      </c>
      <c r="C759" s="20">
        <f ca="1">RANDBETWEEN(12,24)*1000</f>
        <v>12000</v>
      </c>
      <c r="E759" s="115">
        <f ca="1">A759/A760</f>
        <v>0.41379310344827586</v>
      </c>
      <c r="F759" s="2" t="s">
        <v>3050</v>
      </c>
    </row>
    <row r="760" spans="1:8" x14ac:dyDescent="0.35">
      <c r="A760" s="20">
        <f ca="1">A758+A759</f>
        <v>29000</v>
      </c>
      <c r="B760" s="2" t="s">
        <v>2625</v>
      </c>
      <c r="E760" s="115">
        <f ca="1">A759/A758</f>
        <v>0.70588235294117652</v>
      </c>
      <c r="F760" s="2" t="s">
        <v>3049</v>
      </c>
    </row>
    <row r="761" spans="1:8" ht="16" thickBot="1" x14ac:dyDescent="0.4">
      <c r="B761" s="88" t="s">
        <v>3164</v>
      </c>
      <c r="F761" s="88" t="s">
        <v>3165</v>
      </c>
    </row>
    <row r="762" spans="1:8" ht="16.5" thickTop="1" thickBot="1" x14ac:dyDescent="0.4">
      <c r="B762" s="76" t="str">
        <f ca="1">[1]!std_ans($C$762)</f>
        <v>E</v>
      </c>
      <c r="C762" s="79" t="str">
        <f ca="1" xml:space="preserve"> "/\" &amp;RANDBETWEEN( 1,120) &amp; "/\" &amp;RANDBETWEEN( 1,3) &amp; "/\" &amp;RANDBETWEEN( 1,2) &amp; "/\" &amp;RANDBETWEEN( 1,2) &amp; "/\" &amp;RANDBETWEEN( 1,8)  &amp; "/\" &amp; E758 &amp; "/\" &amp; E759 &amp; "/\" &amp; E760 &amp; "/\" &amp; F758 &amp; "/\" &amp; F759 &amp; "/\" &amp; F760 &amp; "/\" &amp; "WW"</f>
        <v>/\120/\1/\1/\2/\1/\1.70588235294118/\0.413793103448276/\0.705882352941177/\equity multiplier/\debt-to-assets/\debt-to-equity/\WW</v>
      </c>
      <c r="D762" s="80" t="s">
        <v>3051</v>
      </c>
      <c r="F762" s="76" t="str">
        <f ca="1">[1]!std_ans($G$762)</f>
        <v>E</v>
      </c>
      <c r="G762" s="79" t="str">
        <f ca="1" xml:space="preserve"> "/\" &amp;RANDBETWEEN( 1,120) &amp; "/\" &amp;RANDBETWEEN( 1,3) &amp; "/\" &amp;RANDBETWEEN( 1,2) &amp; "/\" &amp;RANDBETWEEN( 1,2) &amp; "/\" &amp;RANDBETWEEN( 1,8)  &amp; "/\" &amp; E758 &amp; "/\" &amp; E759 &amp; "/\" &amp; E760 &amp; "/\" &amp; F758 &amp; "/\" &amp; F759 &amp; "/\" &amp; F760 &amp; "/\" &amp; "NW"</f>
        <v>/\70/\3/\2/\2/\3/\1.70588235294118/\0.413793103448276/\0.705882352941177/\equity multiplier/\debt-to-assets/\debt-to-equity/\NW</v>
      </c>
      <c r="H762" s="80" t="s">
        <v>3163</v>
      </c>
    </row>
    <row r="763" spans="1:8" ht="16" thickTop="1" x14ac:dyDescent="0.35">
      <c r="B763" s="74" t="str">
        <f ca="1">LEFT([1]!threepairs_A($C$762),4)</f>
        <v>0.70</v>
      </c>
      <c r="C763" s="82" t="str">
        <f ca="1">[1]!threepairs_A2($C$762)</f>
        <v>equity multiplier</v>
      </c>
      <c r="D763" s="77"/>
      <c r="F763" s="74" t="str">
        <f ca="1">LEFT([1]!threepairs_A($G$762),4)</f>
        <v>0.41</v>
      </c>
      <c r="G763" s="82" t="str">
        <f ca="1">[1]!threepairs_A2($G$762)</f>
        <v>equity multiplier</v>
      </c>
      <c r="H763" s="77"/>
    </row>
    <row r="764" spans="1:8" x14ac:dyDescent="0.35">
      <c r="B764" s="74" t="str">
        <f ca="1">LEFT([1]!threepairs_B($C$762),4)</f>
        <v>1.70</v>
      </c>
      <c r="C764" s="82" t="str">
        <f ca="1">[1]!threepairs_B2($C$762)</f>
        <v>debt-to-assets</v>
      </c>
      <c r="D764" s="77"/>
      <c r="F764" s="74" t="str">
        <f ca="1">LEFT([1]!threepairs_B($G$762),4)</f>
        <v>0.41</v>
      </c>
      <c r="G764" s="82" t="str">
        <f ca="1">[1]!threepairs_B2($G$762)</f>
        <v>debt-to-equity</v>
      </c>
      <c r="H764" s="77"/>
    </row>
    <row r="765" spans="1:8" x14ac:dyDescent="0.35">
      <c r="B765" s="74" t="str">
        <f ca="1">LEFT([1]!threepairs_C($C$762),4)</f>
        <v>0.70</v>
      </c>
      <c r="C765" s="82" t="str">
        <f ca="1">[1]!threepairs_C2($C$762)</f>
        <v>debt-to-assets</v>
      </c>
      <c r="D765" s="77"/>
      <c r="F765" s="74" t="str">
        <f ca="1">LEFT([1]!threepairs_C($G$762),4)</f>
        <v>1.70</v>
      </c>
      <c r="G765" s="82" t="str">
        <f ca="1">[1]!threepairs_C2($G$762)</f>
        <v>debt-to-assets</v>
      </c>
      <c r="H765" s="77"/>
    </row>
    <row r="766" spans="1:8" x14ac:dyDescent="0.35">
      <c r="B766" s="74" t="str">
        <f ca="1">LEFT([1]!threepairs_D($C$762),4)</f>
        <v>0.41</v>
      </c>
      <c r="C766" s="82" t="str">
        <f ca="1">[1]!threepairs_D2($C$762)</f>
        <v>debt-to-equity</v>
      </c>
      <c r="D766" s="77"/>
      <c r="F766" s="74" t="str">
        <f ca="1">LEFT([1]!threepairs_D($G$762),4)</f>
        <v>0.70</v>
      </c>
      <c r="G766" s="82" t="str">
        <f ca="1">[1]!threepairs_D2($G$762)</f>
        <v>debt-to-assets</v>
      </c>
      <c r="H766" s="77"/>
    </row>
    <row r="767" spans="1:8" ht="16" thickBot="1" x14ac:dyDescent="0.4">
      <c r="B767" s="75" t="str">
        <f ca="1">LEFT([1]!threepairs_E($C$762),4)</f>
        <v>1.70</v>
      </c>
      <c r="C767" s="84" t="str">
        <f ca="1">[1]!threepairs_E2($C$762)</f>
        <v>equity multiplier</v>
      </c>
      <c r="D767" s="78"/>
      <c r="F767" s="75" t="str">
        <f ca="1">LEFT([1]!threepairs_E($G$762),4)</f>
        <v>0.70</v>
      </c>
      <c r="G767" s="84" t="str">
        <f ca="1">[1]!threepairs_E2($G$762)</f>
        <v>debt-to-equity</v>
      </c>
      <c r="H767" s="78"/>
    </row>
    <row r="768" spans="1:8" ht="16" thickTop="1" x14ac:dyDescent="0.35"/>
    <row r="770" spans="1:6" x14ac:dyDescent="0.35">
      <c r="A770" s="88" t="s">
        <v>3052</v>
      </c>
    </row>
    <row r="771" spans="1:6" x14ac:dyDescent="0.35">
      <c r="A771" s="20">
        <f ca="1">RANDBETWEEN(12,24)*1000</f>
        <v>14000</v>
      </c>
      <c r="B771" s="2" t="s">
        <v>81</v>
      </c>
      <c r="E771" s="20">
        <f ca="1">(A771*A772-A773-A774)*(1-A775)</f>
        <v>1365</v>
      </c>
      <c r="F771" s="2" t="s">
        <v>1622</v>
      </c>
    </row>
    <row r="772" spans="1:6" x14ac:dyDescent="0.35">
      <c r="A772" s="23">
        <f ca="1">RANDBETWEEN(18,30)/100</f>
        <v>0.26</v>
      </c>
      <c r="B772" s="2" t="s">
        <v>975</v>
      </c>
    </row>
    <row r="773" spans="1:6" x14ac:dyDescent="0.35">
      <c r="A773" s="20">
        <f ca="1">ROUND(A771*A772/3,-2)</f>
        <v>1200</v>
      </c>
      <c r="B773" s="2" t="s">
        <v>976</v>
      </c>
    </row>
    <row r="774" spans="1:6" x14ac:dyDescent="0.35">
      <c r="A774" s="20">
        <f ca="1">ROUND(A773/2*(1+RANDBETWEEN(16,25)/100)^(IF(RANDBETWEEN(0,1)=0,1,-1)),-1)</f>
        <v>490</v>
      </c>
      <c r="B774" s="2" t="s">
        <v>977</v>
      </c>
    </row>
    <row r="775" spans="1:6" x14ac:dyDescent="0.35">
      <c r="A775" s="23">
        <f ca="1">IF((IF(RANDBETWEEN(0,1)=0,1,-1))&gt;0,0.35,0.3)</f>
        <v>0.3</v>
      </c>
      <c r="B775" s="2" t="s">
        <v>1038</v>
      </c>
    </row>
    <row r="776" spans="1:6" ht="16" thickBot="1" x14ac:dyDescent="0.4"/>
    <row r="777" spans="1:6" ht="16.5" thickTop="1" thickBot="1" x14ac:dyDescent="0.4">
      <c r="B777" s="76" t="str">
        <f ca="1">[1]!std_ans($C$777)</f>
        <v>C</v>
      </c>
      <c r="C777" s="79" t="str">
        <f ca="1" xml:space="preserve"> "/\" &amp;RANDBETWEEN( 1,120) &amp; "/\" &amp;RANDBETWEEN( 1,120) &amp; "/\" &amp;0.1 &amp; "/\" &amp; E771</f>
        <v>/\79/\73/\0.1/\1365</v>
      </c>
      <c r="D777" s="80" t="s">
        <v>1623</v>
      </c>
    </row>
    <row r="778" spans="1:6" ht="16" thickTop="1" x14ac:dyDescent="0.35">
      <c r="B778" s="101">
        <f ca="1">[1]!stdnum_A($C$777)</f>
        <v>1240.9090909090908</v>
      </c>
      <c r="C778" s="82"/>
      <c r="D778" s="77"/>
    </row>
    <row r="779" spans="1:6" x14ac:dyDescent="0.35">
      <c r="B779" s="101">
        <f ca="1">[1]!stdnum_B($C$777)</f>
        <v>1025.5447032306533</v>
      </c>
      <c r="C779" s="82"/>
      <c r="D779" s="77"/>
    </row>
    <row r="780" spans="1:6" x14ac:dyDescent="0.35">
      <c r="B780" s="101">
        <f ca="1">[1]!stdnum_C($C$777)</f>
        <v>1365</v>
      </c>
      <c r="C780" s="82"/>
      <c r="D780" s="77"/>
    </row>
    <row r="781" spans="1:6" x14ac:dyDescent="0.35">
      <c r="B781" s="101">
        <f ca="1">[1]!stdnum_D($C$777)</f>
        <v>1128.0991735537189</v>
      </c>
      <c r="C781" s="82"/>
      <c r="D781" s="77"/>
    </row>
    <row r="782" spans="1:6" ht="16" thickBot="1" x14ac:dyDescent="0.4">
      <c r="B782" s="102">
        <f ca="1">[1]!stdnum_E($C$777)</f>
        <v>1501.5000000000002</v>
      </c>
      <c r="C782" s="84"/>
      <c r="D782" s="78"/>
    </row>
    <row r="783" spans="1:6" ht="16" thickTop="1" x14ac:dyDescent="0.35"/>
    <row r="785" spans="1:6" x14ac:dyDescent="0.35">
      <c r="A785" s="88" t="s">
        <v>1624</v>
      </c>
    </row>
    <row r="786" spans="1:6" x14ac:dyDescent="0.35">
      <c r="A786" s="26">
        <f ca="1">RANDBETWEEN(8,24)/10</f>
        <v>1.9</v>
      </c>
      <c r="B786" s="2" t="s">
        <v>3234</v>
      </c>
      <c r="E786" s="8">
        <f ca="1">E787/A789</f>
        <v>59375</v>
      </c>
      <c r="F786" s="2" t="s">
        <v>2625</v>
      </c>
    </row>
    <row r="787" spans="1:6" x14ac:dyDescent="0.35">
      <c r="A787" s="23">
        <f ca="1">RANDBETWEEN(7,20)/100</f>
        <v>0.16</v>
      </c>
      <c r="B787" s="2" t="s">
        <v>3235</v>
      </c>
      <c r="E787" s="24">
        <f ca="1">A786*A788/A787</f>
        <v>201875</v>
      </c>
      <c r="F787" s="2" t="s">
        <v>81</v>
      </c>
    </row>
    <row r="788" spans="1:6" x14ac:dyDescent="0.35">
      <c r="A788" s="330">
        <f ca="1">RANDBETWEEN(10,30)*1000</f>
        <v>17000</v>
      </c>
      <c r="B788" s="2" t="s">
        <v>3095</v>
      </c>
    </row>
    <row r="789" spans="1:6" x14ac:dyDescent="0.35">
      <c r="A789" s="331">
        <f ca="1">RANDBETWEEN(10,50)/10</f>
        <v>3.4</v>
      </c>
      <c r="B789" s="2" t="s">
        <v>3441</v>
      </c>
    </row>
    <row r="790" spans="1:6" ht="16" thickBot="1" x14ac:dyDescent="0.4"/>
    <row r="791" spans="1:6" ht="16.5" thickTop="1" thickBot="1" x14ac:dyDescent="0.4">
      <c r="B791" s="76" t="str">
        <f ca="1">[1]!std_ans($C$791)</f>
        <v>A</v>
      </c>
      <c r="C791" s="79" t="str">
        <f ca="1" xml:space="preserve"> "/\" &amp;RANDBETWEEN( 1,120) &amp; "/\" &amp;RANDBETWEEN( 1,120) &amp; "/\" &amp;0.1 &amp; "/\" &amp; E786</f>
        <v>/\18/\39/\0.1/\59375</v>
      </c>
      <c r="D791" s="80" t="s">
        <v>3753</v>
      </c>
    </row>
    <row r="792" spans="1:6" ht="16" thickTop="1" x14ac:dyDescent="0.35">
      <c r="B792" s="101">
        <f ca="1">[1]!stdnum_A($C$791)</f>
        <v>59375</v>
      </c>
      <c r="C792" s="82"/>
      <c r="D792" s="77"/>
    </row>
    <row r="793" spans="1:6" x14ac:dyDescent="0.35">
      <c r="B793" s="101">
        <f ca="1">[1]!stdnum_B($C$791)</f>
        <v>53977.272727272728</v>
      </c>
      <c r="C793" s="82"/>
      <c r="D793" s="77"/>
    </row>
    <row r="794" spans="1:6" x14ac:dyDescent="0.35">
      <c r="B794" s="101">
        <f ca="1">[1]!stdnum_C($C$791)</f>
        <v>79028.125000000029</v>
      </c>
      <c r="C794" s="82"/>
      <c r="D794" s="77"/>
    </row>
    <row r="795" spans="1:6" x14ac:dyDescent="0.35">
      <c r="B795" s="101">
        <f ca="1">[1]!stdnum_D($C$791)</f>
        <v>65312.500000000007</v>
      </c>
      <c r="C795" s="82"/>
      <c r="D795" s="77"/>
    </row>
    <row r="796" spans="1:6" ht="16" thickBot="1" x14ac:dyDescent="0.4">
      <c r="B796" s="102">
        <f ca="1">[1]!stdnum_E($C$791)</f>
        <v>71843.750000000015</v>
      </c>
      <c r="C796" s="84"/>
      <c r="D796" s="78"/>
    </row>
    <row r="797" spans="1:6" ht="16" thickTop="1" x14ac:dyDescent="0.35"/>
    <row r="799" spans="1:6" x14ac:dyDescent="0.35">
      <c r="A799" s="88" t="s">
        <v>2446</v>
      </c>
    </row>
    <row r="800" spans="1:6" x14ac:dyDescent="0.35">
      <c r="A800" s="26">
        <f ca="1">RANDBETWEEN(8,44)/10</f>
        <v>2.5</v>
      </c>
      <c r="B800" s="2" t="s">
        <v>3234</v>
      </c>
      <c r="E800" s="27">
        <f ca="1">A800*A802</f>
        <v>1.5</v>
      </c>
      <c r="F800" s="2" t="s">
        <v>3498</v>
      </c>
    </row>
    <row r="801" spans="1:7" x14ac:dyDescent="0.35">
      <c r="A801" s="23">
        <f ca="1">RANDBETWEEN(12,30)/100</f>
        <v>0.13</v>
      </c>
      <c r="B801" s="2" t="s">
        <v>2440</v>
      </c>
      <c r="E801" s="27">
        <f ca="1">A800*A803</f>
        <v>84</v>
      </c>
      <c r="F801" s="2" t="s">
        <v>2442</v>
      </c>
    </row>
    <row r="802" spans="1:7" x14ac:dyDescent="0.35">
      <c r="A802" s="23">
        <f ca="1">RANDBETWEEN(5,18)*5/100</f>
        <v>0.6</v>
      </c>
      <c r="B802" s="2" t="s">
        <v>2811</v>
      </c>
      <c r="E802" s="27">
        <f ca="1">(E801+E800)/(1+A801)</f>
        <v>75.663716814159301</v>
      </c>
      <c r="F802" s="2" t="s">
        <v>2443</v>
      </c>
    </row>
    <row r="803" spans="1:7" x14ac:dyDescent="0.35">
      <c r="A803" s="331">
        <f ca="1">RANDBETWEEN(100,500)/10</f>
        <v>33.6</v>
      </c>
      <c r="B803" s="2" t="s">
        <v>2441</v>
      </c>
      <c r="E803" s="27">
        <f ca="1">E801-E802</f>
        <v>8.3362831858406992</v>
      </c>
      <c r="F803" s="2" t="s">
        <v>2444</v>
      </c>
    </row>
    <row r="804" spans="1:7" ht="16" thickBot="1" x14ac:dyDescent="0.4"/>
    <row r="805" spans="1:7" ht="16.5" thickTop="1" thickBot="1" x14ac:dyDescent="0.4">
      <c r="B805" s="76" t="str">
        <f ca="1">[1]!std_ans($C$805)</f>
        <v>D</v>
      </c>
      <c r="C805" s="79" t="str">
        <f ca="1" xml:space="preserve"> "/\" &amp;RANDBETWEEN( 1,120) &amp; "/\" &amp;RANDBETWEEN( 1,120) &amp; "/\" &amp;0.1 &amp; "/\" &amp; E803</f>
        <v>/\119/\104/\0.1/\8.3362831858407</v>
      </c>
      <c r="D805" s="80" t="s">
        <v>2445</v>
      </c>
    </row>
    <row r="806" spans="1:7" ht="16" thickTop="1" x14ac:dyDescent="0.35">
      <c r="B806" s="96">
        <f ca="1">[1]!stdnum_A($C$805)</f>
        <v>6.8894902362319819</v>
      </c>
      <c r="C806" s="82"/>
      <c r="D806" s="77"/>
    </row>
    <row r="807" spans="1:7" x14ac:dyDescent="0.35">
      <c r="B807" s="96">
        <f ca="1">[1]!stdnum_B($C$805)</f>
        <v>7.5784392598551804</v>
      </c>
      <c r="C807" s="82"/>
      <c r="D807" s="77"/>
    </row>
    <row r="808" spans="1:7" x14ac:dyDescent="0.35">
      <c r="B808" s="96">
        <f ca="1">[1]!stdnum_C($C$805)</f>
        <v>5.693793583662794</v>
      </c>
      <c r="C808" s="82"/>
      <c r="D808" s="77"/>
    </row>
    <row r="809" spans="1:7" x14ac:dyDescent="0.35">
      <c r="B809" s="96">
        <f ca="1">[1]!stdnum_D($C$805)</f>
        <v>8.3362831858406992</v>
      </c>
      <c r="C809" s="82"/>
      <c r="D809" s="77"/>
    </row>
    <row r="810" spans="1:7" ht="16" thickBot="1" x14ac:dyDescent="0.4">
      <c r="B810" s="97">
        <f ca="1">[1]!stdnum_E($C$805)</f>
        <v>6.2631729420290734</v>
      </c>
      <c r="C810" s="84"/>
      <c r="D810" s="78"/>
    </row>
    <row r="811" spans="1:7" ht="16" thickTop="1" x14ac:dyDescent="0.35"/>
    <row r="813" spans="1:7" x14ac:dyDescent="0.35">
      <c r="A813" s="88" t="s">
        <v>813</v>
      </c>
    </row>
    <row r="814" spans="1:7" x14ac:dyDescent="0.35">
      <c r="A814" s="8">
        <f ca="1">RANDBETWEEN(30,60)*1000</f>
        <v>31000</v>
      </c>
      <c r="B814" s="28" t="s">
        <v>2447</v>
      </c>
      <c r="F814" s="10">
        <f ca="1">A814/A815</f>
        <v>3924.0506329113923</v>
      </c>
      <c r="G814" s="2" t="s">
        <v>707</v>
      </c>
    </row>
    <row r="815" spans="1:7" x14ac:dyDescent="0.35">
      <c r="A815" s="333">
        <f ca="1">RANDBETWEEN(60,95)/10</f>
        <v>7.9</v>
      </c>
      <c r="B815" s="28" t="s">
        <v>705</v>
      </c>
      <c r="F815" s="35">
        <f ca="1">365/A815</f>
        <v>46.202531645569621</v>
      </c>
      <c r="G815" s="2" t="s">
        <v>708</v>
      </c>
    </row>
    <row r="816" spans="1:7" x14ac:dyDescent="0.35">
      <c r="A816" s="163">
        <f ca="1">RANDBETWEEN(4,14)</f>
        <v>5</v>
      </c>
      <c r="B816" s="28" t="s">
        <v>706</v>
      </c>
      <c r="F816" s="35">
        <f ca="1">F815-A816</f>
        <v>41.202531645569621</v>
      </c>
      <c r="G816" s="2" t="s">
        <v>809</v>
      </c>
    </row>
    <row r="817" spans="1:7" x14ac:dyDescent="0.35">
      <c r="A817" s="230"/>
      <c r="B817" s="28"/>
      <c r="F817" s="10">
        <f ca="1">A814*F816/365</f>
        <v>3499.393098664817</v>
      </c>
      <c r="G817" s="2" t="s">
        <v>810</v>
      </c>
    </row>
    <row r="818" spans="1:7" x14ac:dyDescent="0.35">
      <c r="A818" s="28"/>
      <c r="B818" s="1"/>
      <c r="F818" s="10">
        <f ca="1">F814-F817</f>
        <v>424.65753424657532</v>
      </c>
      <c r="G818" s="2" t="s">
        <v>811</v>
      </c>
    </row>
    <row r="819" spans="1:7" ht="16" thickBot="1" x14ac:dyDescent="0.4"/>
    <row r="820" spans="1:7" ht="16.5" thickTop="1" thickBot="1" x14ac:dyDescent="0.4">
      <c r="B820" s="76" t="str">
        <f ca="1">[1]!std_ans($C$820)</f>
        <v>A</v>
      </c>
      <c r="C820" s="79" t="str">
        <f ca="1" xml:space="preserve"> "/\" &amp;RANDBETWEEN( 1,120) &amp; "/\" &amp;RANDBETWEEN( 1,120) &amp; "/\" &amp;0.1 &amp; "/\" &amp; F818</f>
        <v>/\8/\4/\0.1/\424.657534246575</v>
      </c>
      <c r="D820" s="80" t="s">
        <v>812</v>
      </c>
    </row>
    <row r="821" spans="1:7" ht="16" thickTop="1" x14ac:dyDescent="0.35">
      <c r="B821" s="101">
        <f ca="1">[1]!stdnum_A($C$820)</f>
        <v>424.65753424657498</v>
      </c>
      <c r="C821" s="82"/>
      <c r="D821" s="77"/>
    </row>
    <row r="822" spans="1:7" x14ac:dyDescent="0.35">
      <c r="B822" s="101">
        <f ca="1">[1]!stdnum_B($C$820)</f>
        <v>565.21917808219143</v>
      </c>
      <c r="C822" s="82"/>
      <c r="D822" s="77"/>
    </row>
    <row r="823" spans="1:7" x14ac:dyDescent="0.35">
      <c r="B823" s="101">
        <f ca="1">[1]!stdnum_C($C$820)</f>
        <v>467.1232876712325</v>
      </c>
      <c r="C823" s="82"/>
      <c r="D823" s="77"/>
    </row>
    <row r="824" spans="1:7" x14ac:dyDescent="0.35">
      <c r="B824" s="101">
        <f ca="1">[1]!stdnum_D($C$820)</f>
        <v>513.83561643835583</v>
      </c>
      <c r="C824" s="82"/>
      <c r="D824" s="77"/>
    </row>
    <row r="825" spans="1:7" ht="16" thickBot="1" x14ac:dyDescent="0.4">
      <c r="B825" s="102">
        <f ca="1">[1]!stdnum_E($C$820)</f>
        <v>621.74109589041063</v>
      </c>
      <c r="C825" s="84"/>
      <c r="D825" s="78"/>
    </row>
    <row r="826" spans="1:7" ht="16" thickTop="1" x14ac:dyDescent="0.35"/>
    <row r="828" spans="1:7" x14ac:dyDescent="0.35">
      <c r="A828" s="88" t="s">
        <v>3028</v>
      </c>
    </row>
    <row r="829" spans="1:7" x14ac:dyDescent="0.35">
      <c r="A829" s="8">
        <f ca="1">RANDBETWEEN(25,50)*100</f>
        <v>3400</v>
      </c>
      <c r="B829" s="28" t="s">
        <v>817</v>
      </c>
    </row>
    <row r="830" spans="1:7" x14ac:dyDescent="0.35">
      <c r="A830" s="8">
        <f ca="1">RANDBETWEEN(25,50)*100</f>
        <v>4700</v>
      </c>
      <c r="B830" s="2" t="s">
        <v>2624</v>
      </c>
      <c r="E830" s="8">
        <f ca="1">A829*A836</f>
        <v>4624</v>
      </c>
      <c r="F830" s="28" t="s">
        <v>1757</v>
      </c>
    </row>
    <row r="831" spans="1:7" x14ac:dyDescent="0.35">
      <c r="A831" s="10">
        <f ca="1">A829+A830</f>
        <v>8100</v>
      </c>
      <c r="B831" s="2" t="s">
        <v>2625</v>
      </c>
      <c r="E831" s="8">
        <f ca="1">(A833*A834-A839*A830)*(1-A838)</f>
        <v>1482.8615999999997</v>
      </c>
      <c r="F831" s="2" t="s">
        <v>1754</v>
      </c>
    </row>
    <row r="832" spans="1:7" x14ac:dyDescent="0.35">
      <c r="A832" s="28">
        <f ca="1">RANDBETWEEN(10,25)*10</f>
        <v>140</v>
      </c>
      <c r="B832" s="28" t="s">
        <v>2679</v>
      </c>
      <c r="E832" s="8">
        <f ca="1">E831*A835</f>
        <v>815.57387999999992</v>
      </c>
      <c r="F832" s="28" t="s">
        <v>1755</v>
      </c>
    </row>
    <row r="833" spans="1:12" x14ac:dyDescent="0.35">
      <c r="A833" s="8">
        <f ca="1">A831*D833</f>
        <v>25920</v>
      </c>
      <c r="B833" s="28" t="s">
        <v>1750</v>
      </c>
      <c r="D833" s="333">
        <f ca="1">RANDBETWEEN(14,45)/10</f>
        <v>3.2</v>
      </c>
      <c r="E833" s="8">
        <f ca="1">E831-E832</f>
        <v>667.28771999999981</v>
      </c>
      <c r="F833" s="2" t="s">
        <v>1756</v>
      </c>
    </row>
    <row r="834" spans="1:12" x14ac:dyDescent="0.35">
      <c r="A834" s="14">
        <f ca="1">RANDBETWEEN(50,110)/1000</f>
        <v>0.10299999999999999</v>
      </c>
      <c r="B834" s="28" t="s">
        <v>1751</v>
      </c>
      <c r="E834" s="10">
        <f ca="1">E831*A837</f>
        <v>5041.7294399999992</v>
      </c>
      <c r="F834" s="28" t="s">
        <v>1446</v>
      </c>
    </row>
    <row r="835" spans="1:12" x14ac:dyDescent="0.35">
      <c r="A835" s="12">
        <f ca="1">0.05*RANDBETWEEN(6,12)</f>
        <v>0.55000000000000004</v>
      </c>
      <c r="B835" s="28" t="s">
        <v>3243</v>
      </c>
    </row>
    <row r="836" spans="1:12" x14ac:dyDescent="0.35">
      <c r="A836" s="30">
        <f ca="1">IF(RANDBETWEEN(0,1)=0,RANDBETWEEN(60,80)/100,RANDBETWEEN(120,140)/100)</f>
        <v>1.36</v>
      </c>
      <c r="B836" s="28" t="s">
        <v>1752</v>
      </c>
    </row>
    <row r="837" spans="1:12" x14ac:dyDescent="0.35">
      <c r="A837" s="332">
        <f ca="1">ROUND(C837*1.1,1)</f>
        <v>3.4</v>
      </c>
      <c r="B837" s="28" t="s">
        <v>1758</v>
      </c>
      <c r="C837" s="2">
        <f ca="1">E830/E831</f>
        <v>3.1182950586892271</v>
      </c>
    </row>
    <row r="838" spans="1:12" x14ac:dyDescent="0.35">
      <c r="A838" s="12">
        <f ca="1">CHOOSE(RANDBETWEEN(1,2),0.3,0.34)</f>
        <v>0.34</v>
      </c>
      <c r="B838" s="2" t="s">
        <v>1038</v>
      </c>
      <c r="E838" s="31">
        <f ca="1">E834/A832</f>
        <v>36.012353142857137</v>
      </c>
      <c r="F838" s="28" t="s">
        <v>1447</v>
      </c>
    </row>
    <row r="839" spans="1:12" x14ac:dyDescent="0.35">
      <c r="A839" s="12">
        <f ca="1">RANDBETWEEN(6,12)/100</f>
        <v>0.09</v>
      </c>
      <c r="B839" s="2" t="s">
        <v>1753</v>
      </c>
      <c r="E839" s="14">
        <f ca="1">(E834+E832)/E830-1</f>
        <v>0.2667178460207611</v>
      </c>
      <c r="F839" s="28" t="s">
        <v>378</v>
      </c>
    </row>
    <row r="840" spans="1:12" ht="16" thickBot="1" x14ac:dyDescent="0.4">
      <c r="B840" s="88" t="s">
        <v>1449</v>
      </c>
      <c r="F840" s="88" t="s">
        <v>1451</v>
      </c>
      <c r="J840" s="88" t="s">
        <v>735</v>
      </c>
    </row>
    <row r="841" spans="1:12" ht="16.5" thickTop="1" thickBot="1" x14ac:dyDescent="0.4">
      <c r="B841" s="76" t="str">
        <f ca="1">[1]!std_ans($C$841)</f>
        <v>A</v>
      </c>
      <c r="C841" s="79" t="str">
        <f ca="1" xml:space="preserve"> "/\" &amp;RANDBETWEEN( 1,120) &amp; "/\" &amp;RANDBETWEEN( 1,120) &amp; "/\" &amp;0.1 &amp; "/\" &amp; E831</f>
        <v>/\8/\109/\0.1/\1482.8616</v>
      </c>
      <c r="D841" s="80" t="s">
        <v>1448</v>
      </c>
      <c r="F841" s="76" t="str">
        <f ca="1">[1]!std_ans($G$841)</f>
        <v>A</v>
      </c>
      <c r="G841" s="79" t="str">
        <f ca="1" xml:space="preserve"> "/\" &amp;RANDBETWEEN( 1,120) &amp; "/\" &amp;RANDBETWEEN( 1,120) &amp; "/\" &amp;0.1 &amp; "/\" &amp; E838</f>
        <v>/\7/\43/\0.1/\36.0123531428571</v>
      </c>
      <c r="H841" s="80" t="s">
        <v>1450</v>
      </c>
      <c r="J841" s="76" t="str">
        <f ca="1">[1]!std_ans($K$841)</f>
        <v>C</v>
      </c>
      <c r="K841" s="79" t="str">
        <f ca="1" xml:space="preserve"> "/\" &amp;RANDBETWEEN( 1,120) &amp; "/\" &amp;RANDBETWEEN( 1,120) &amp; "/\" &amp;0.1 &amp; "/\" &amp; E839</f>
        <v>/\44/\88/\0.1/\0.266717846020761</v>
      </c>
      <c r="L841" s="80" t="s">
        <v>734</v>
      </c>
    </row>
    <row r="842" spans="1:12" ht="16" thickTop="1" x14ac:dyDescent="0.35">
      <c r="B842" s="101">
        <f ca="1">[1]!stdnum_A($C$841)</f>
        <v>1482.8616</v>
      </c>
      <c r="C842" s="82"/>
      <c r="D842" s="77"/>
      <c r="F842" s="96">
        <f ca="1">[1]!stdnum_A($G$841)</f>
        <v>36.012353142857101</v>
      </c>
      <c r="G842" s="82"/>
      <c r="H842" s="77"/>
      <c r="J842" s="92">
        <f ca="1">[1]!stdnum_A($K$841)</f>
        <v>0.24247076910978271</v>
      </c>
      <c r="K842" s="82"/>
      <c r="L842" s="77"/>
    </row>
    <row r="843" spans="1:12" x14ac:dyDescent="0.35">
      <c r="B843" s="101">
        <f ca="1">[1]!stdnum_B($C$841)</f>
        <v>1012.8144252441771</v>
      </c>
      <c r="C843" s="82"/>
      <c r="D843" s="77"/>
      <c r="F843" s="96">
        <f ca="1">[1]!stdnum_B($G$841)</f>
        <v>32.738502857142819</v>
      </c>
      <c r="G843" s="82"/>
      <c r="H843" s="77"/>
      <c r="J843" s="92">
        <f ca="1">[1]!stdnum_B($K$841)</f>
        <v>0.20038906537998566</v>
      </c>
      <c r="K843" s="82"/>
      <c r="L843" s="77"/>
    </row>
    <row r="844" spans="1:12" x14ac:dyDescent="0.35">
      <c r="B844" s="101">
        <f ca="1">[1]!stdnum_C($C$841)</f>
        <v>1225.5054545454543</v>
      </c>
      <c r="C844" s="82"/>
      <c r="D844" s="77"/>
      <c r="F844" s="96">
        <f ca="1">[1]!stdnum_C($G$841)</f>
        <v>47.932442033142813</v>
      </c>
      <c r="G844" s="82"/>
      <c r="H844" s="77"/>
      <c r="J844" s="92">
        <f ca="1">[1]!stdnum_C($K$841)</f>
        <v>0.26671784602076098</v>
      </c>
      <c r="K844" s="82"/>
      <c r="L844" s="77"/>
    </row>
    <row r="845" spans="1:12" x14ac:dyDescent="0.35">
      <c r="B845" s="101">
        <f ca="1">[1]!stdnum_D($C$841)</f>
        <v>1348.0559999999998</v>
      </c>
      <c r="C845" s="82"/>
      <c r="D845" s="77"/>
      <c r="F845" s="96">
        <f ca="1">[1]!stdnum_D($G$841)</f>
        <v>39.613588457142818</v>
      </c>
      <c r="G845" s="82"/>
      <c r="H845" s="77"/>
      <c r="J845" s="92">
        <f ca="1">[1]!stdnum_D($K$841)</f>
        <v>0.29338963062283713</v>
      </c>
      <c r="K845" s="82"/>
      <c r="L845" s="77"/>
    </row>
    <row r="846" spans="1:12" ht="16" thickBot="1" x14ac:dyDescent="0.4">
      <c r="B846" s="102">
        <f ca="1">[1]!stdnum_E($C$841)</f>
        <v>1114.0958677685946</v>
      </c>
      <c r="C846" s="84"/>
      <c r="D846" s="78"/>
      <c r="F846" s="97">
        <f ca="1">[1]!stdnum_E($G$841)</f>
        <v>43.574947302857097</v>
      </c>
      <c r="G846" s="84"/>
      <c r="H846" s="78"/>
      <c r="J846" s="93">
        <f ca="1">[1]!stdnum_E($K$841)</f>
        <v>0.22042797191798427</v>
      </c>
      <c r="K846" s="84"/>
      <c r="L846" s="78"/>
    </row>
    <row r="847" spans="1:12" ht="16" thickTop="1" x14ac:dyDescent="0.35"/>
    <row r="849" spans="1:7" x14ac:dyDescent="0.35">
      <c r="A849" s="88" t="s">
        <v>3184</v>
      </c>
    </row>
    <row r="850" spans="1:7" x14ac:dyDescent="0.35">
      <c r="A850" s="12">
        <f ca="1">0.05*RANDBETWEEN(6,12)</f>
        <v>0.35000000000000003</v>
      </c>
      <c r="B850" s="28" t="s">
        <v>3243</v>
      </c>
      <c r="E850" s="14">
        <f ca="1">A853*G850</f>
        <v>0.15302531645569623</v>
      </c>
      <c r="F850" s="2" t="s">
        <v>3187</v>
      </c>
      <c r="G850" s="2">
        <f ca="1">1-(A850*(A851-1)/A851)</f>
        <v>1.0930379746835444</v>
      </c>
    </row>
    <row r="851" spans="1:7" x14ac:dyDescent="0.35">
      <c r="A851" s="30">
        <f ca="1">IF(sign2&gt;0,RANDBETWEEN(60,80)/100,RANDBETWEEN(120,140)/100)</f>
        <v>0.79</v>
      </c>
      <c r="B851" s="28" t="s">
        <v>3185</v>
      </c>
      <c r="E851" s="14">
        <f ca="1">A853*G851</f>
        <v>0.12600000000000003</v>
      </c>
      <c r="F851" s="2" t="s">
        <v>3188</v>
      </c>
      <c r="G851" s="2">
        <f ca="1">1-(A850*(A852-1)/A852)</f>
        <v>0.9</v>
      </c>
    </row>
    <row r="852" spans="1:7" x14ac:dyDescent="0.35">
      <c r="A852" s="30">
        <f ca="1">IF(sign2&lt;0,RANDBETWEEN(60,80)/100,RANDBETWEEN(120,140)/100)</f>
        <v>1.4</v>
      </c>
      <c r="B852" s="28" t="s">
        <v>3186</v>
      </c>
    </row>
    <row r="853" spans="1:7" x14ac:dyDescent="0.35">
      <c r="A853" s="12">
        <f ca="1">RANDBETWEEN(12,36)/100</f>
        <v>0.14000000000000001</v>
      </c>
      <c r="B853" s="2" t="s">
        <v>508</v>
      </c>
    </row>
    <row r="854" spans="1:7" ht="16" thickBot="1" x14ac:dyDescent="0.4"/>
    <row r="855" spans="1:7" ht="16.5" thickTop="1" thickBot="1" x14ac:dyDescent="0.4">
      <c r="B855" s="76" t="str">
        <f ca="1">[1]!alpha_ans($C$855)</f>
        <v>A</v>
      </c>
      <c r="C855" s="79" t="str">
        <f ca="1" xml:space="preserve"> "/\" &amp;RANDBETWEEN( 1,5) &amp; "/\" &amp;RANDBETWEEN( 1,120) &amp; "/\" &amp;RANDBETWEEN( 1,6) &amp; "/\" &amp;RANDBETWEEN( 1,2) &amp; "/\" &amp; E850 &amp; "/\" &amp; "Mask" &amp; "/\" &amp; "Mask" &amp; "/\" &amp; E851 &amp; "/\" &amp; "Mask"</f>
        <v>/\1/\72/\3/\2/\0.153025316455696/\Mask/\Mask/\0.126/\Mask</v>
      </c>
      <c r="D855" s="80" t="s">
        <v>3189</v>
      </c>
    </row>
    <row r="856" spans="1:7" ht="16" thickTop="1" x14ac:dyDescent="0.35">
      <c r="B856" s="112">
        <f ca="1">[1]!onepair_A($C$855)</f>
        <v>0.153025316455696</v>
      </c>
      <c r="C856" s="257">
        <f ca="1">[1]!onepair_A2($C$855)</f>
        <v>0.126</v>
      </c>
      <c r="D856" s="77"/>
    </row>
    <row r="857" spans="1:7" x14ac:dyDescent="0.35">
      <c r="B857" s="112">
        <f ca="1">[1]!onepair_B($C$855)</f>
        <v>0.17597911392405</v>
      </c>
      <c r="C857" s="257">
        <f ca="1">[1]!onepair_B2($C$855)</f>
        <v>0.1449</v>
      </c>
      <c r="D857" s="77"/>
    </row>
    <row r="858" spans="1:7" x14ac:dyDescent="0.35">
      <c r="B858" s="112">
        <f ca="1">[1]!onepair_C($C$855)</f>
        <v>0.17597911392405</v>
      </c>
      <c r="C858" s="257">
        <f ca="1">[1]!onepair_C2($C$855)</f>
        <v>0.126</v>
      </c>
      <c r="D858" s="77"/>
    </row>
    <row r="859" spans="1:7" x14ac:dyDescent="0.35">
      <c r="B859" s="112">
        <f ca="1">[1]!onepair_D($C$855)</f>
        <v>0.13306549257017</v>
      </c>
      <c r="C859" s="257">
        <f ca="1">[1]!onepair_D2($C$855)</f>
        <v>0.126</v>
      </c>
      <c r="D859" s="77"/>
    </row>
    <row r="860" spans="1:7" ht="16" thickBot="1" x14ac:dyDescent="0.4">
      <c r="B860" s="113">
        <f ca="1">[1]!onepair_E($C$855)</f>
        <v>0.153025316455696</v>
      </c>
      <c r="C860" s="304">
        <f ca="1">[1]!onepair_E2($C$855)</f>
        <v>0.1449</v>
      </c>
      <c r="D860" s="78"/>
    </row>
    <row r="861" spans="1:7" ht="16" thickTop="1" x14ac:dyDescent="0.35"/>
    <row r="863" spans="1:7" x14ac:dyDescent="0.35">
      <c r="A863" s="88" t="s">
        <v>3190</v>
      </c>
    </row>
    <row r="864" spans="1:7" x14ac:dyDescent="0.35">
      <c r="A864" s="12">
        <f ca="1">0.05*RANDBETWEEN(6,12)</f>
        <v>0.5</v>
      </c>
      <c r="B864" s="28" t="s">
        <v>3243</v>
      </c>
      <c r="E864" s="14">
        <f ca="1">A867*G864</f>
        <v>0.1681746031746032</v>
      </c>
      <c r="F864" s="2" t="s">
        <v>3187</v>
      </c>
      <c r="G864" s="2">
        <f ca="1">1-(A864*(A865-1)/A865)</f>
        <v>1.2936507936507937</v>
      </c>
    </row>
    <row r="865" spans="1:7" x14ac:dyDescent="0.35">
      <c r="A865" s="30">
        <f ca="1">IF(sign3&gt;0,RANDBETWEEN(60,140)/100,RANDBETWEEN(180,240)/100)</f>
        <v>0.63</v>
      </c>
      <c r="B865" s="28" t="s">
        <v>3185</v>
      </c>
      <c r="E865" s="14">
        <f ca="1">E864/G865</f>
        <v>0.22423280423280426</v>
      </c>
      <c r="F865" s="2" t="s">
        <v>3191</v>
      </c>
      <c r="G865" s="2">
        <f ca="1">1-(A864*(A866-1)/A866)</f>
        <v>0.75</v>
      </c>
    </row>
    <row r="866" spans="1:7" x14ac:dyDescent="0.35">
      <c r="A866" s="30">
        <f ca="1">IF(sign3&lt;0,RANDBETWEEN(60,140)/100,RANDBETWEEN(180,240)/100)</f>
        <v>2</v>
      </c>
      <c r="B866" s="28" t="s">
        <v>3186</v>
      </c>
    </row>
    <row r="867" spans="1:7" x14ac:dyDescent="0.35">
      <c r="A867" s="12">
        <f ca="1">RANDBETWEEN(12,36)/100</f>
        <v>0.13</v>
      </c>
      <c r="B867" s="2" t="s">
        <v>508</v>
      </c>
    </row>
    <row r="868" spans="1:7" ht="16" thickBot="1" x14ac:dyDescent="0.4"/>
    <row r="869" spans="1:7" ht="16.5" thickTop="1" thickBot="1" x14ac:dyDescent="0.4">
      <c r="B869" s="76" t="str">
        <f ca="1">[1]!std_ans($C$869)</f>
        <v>A</v>
      </c>
      <c r="C869" s="79" t="str">
        <f ca="1" xml:space="preserve"> "/\" &amp;RANDBETWEEN( 1,120) &amp; "/\" &amp;RANDBETWEEN( 1,120) &amp; "/\" &amp;0.1 &amp; "/\" &amp; E865</f>
        <v>/\19/\98/\0.1/\0.224232804232804</v>
      </c>
      <c r="D869" s="80" t="s">
        <v>3192</v>
      </c>
    </row>
    <row r="870" spans="1:7" ht="16" thickTop="1" x14ac:dyDescent="0.35">
      <c r="B870" s="92">
        <f ca="1">[1]!stdnum_A($C$869)</f>
        <v>0.22423280423280401</v>
      </c>
      <c r="C870" s="82"/>
      <c r="D870" s="77"/>
    </row>
    <row r="871" spans="1:7" x14ac:dyDescent="0.35">
      <c r="B871" s="92">
        <f ca="1">[1]!stdnum_B($C$869)</f>
        <v>0.18531636713454874</v>
      </c>
      <c r="C871" s="82"/>
      <c r="D871" s="77"/>
    </row>
    <row r="872" spans="1:7" x14ac:dyDescent="0.35">
      <c r="B872" s="92">
        <f ca="1">[1]!stdnum_C($C$869)</f>
        <v>0.15315402242524687</v>
      </c>
      <c r="C872" s="82"/>
      <c r="D872" s="77"/>
    </row>
    <row r="873" spans="1:7" x14ac:dyDescent="0.35">
      <c r="B873" s="92">
        <f ca="1">[1]!stdnum_D($C$869)</f>
        <v>0.16846942466777157</v>
      </c>
      <c r="C873" s="82"/>
      <c r="D873" s="77"/>
    </row>
    <row r="874" spans="1:7" ht="16" thickBot="1" x14ac:dyDescent="0.4">
      <c r="B874" s="93">
        <f ca="1">[1]!stdnum_E($C$869)</f>
        <v>0.20384800384800364</v>
      </c>
      <c r="C874" s="84"/>
      <c r="D874" s="78"/>
    </row>
    <row r="875" spans="1:7" ht="16" thickTop="1" x14ac:dyDescent="0.35"/>
    <row r="877" spans="1:7" x14ac:dyDescent="0.35">
      <c r="A877" s="88" t="s">
        <v>3561</v>
      </c>
    </row>
    <row r="878" spans="1:7" x14ac:dyDescent="0.35">
      <c r="A878" s="8">
        <f ca="1">RANDBETWEEN(25,50)*100</f>
        <v>4000</v>
      </c>
      <c r="B878" s="28" t="s">
        <v>2689</v>
      </c>
      <c r="E878" s="8">
        <f ca="1">A880*A881*(1-A882)</f>
        <v>367.983</v>
      </c>
      <c r="F878" s="2" t="s">
        <v>2864</v>
      </c>
    </row>
    <row r="879" spans="1:7" x14ac:dyDescent="0.35">
      <c r="A879" s="28">
        <f ca="1">RANDBETWEEN(10,25)*10</f>
        <v>230</v>
      </c>
      <c r="B879" s="28" t="s">
        <v>2673</v>
      </c>
      <c r="E879" s="8">
        <f ca="1">RANDBETWEEN(25,50)*100</f>
        <v>4100</v>
      </c>
      <c r="F879" s="2" t="s">
        <v>2624</v>
      </c>
    </row>
    <row r="880" spans="1:7" x14ac:dyDescent="0.35">
      <c r="A880" s="8">
        <f ca="1">D880*E880</f>
        <v>11340</v>
      </c>
      <c r="B880" s="28" t="s">
        <v>3193</v>
      </c>
      <c r="D880" s="62">
        <f ca="1">RANDBETWEEN(14,50)/10</f>
        <v>1.4</v>
      </c>
      <c r="E880" s="10">
        <f ca="1">A878+E879</f>
        <v>8100</v>
      </c>
      <c r="F880" s="2" t="s">
        <v>2625</v>
      </c>
    </row>
    <row r="881" spans="1:4" x14ac:dyDescent="0.35">
      <c r="A881" s="29">
        <f ca="1">RANDBETWEEN(45,80)/1000</f>
        <v>5.8999999999999997E-2</v>
      </c>
      <c r="B881" s="28" t="s">
        <v>357</v>
      </c>
    </row>
    <row r="882" spans="1:4" x14ac:dyDescent="0.35">
      <c r="A882" s="12">
        <f ca="1">0.05*RANDBETWEEN(6,12)</f>
        <v>0.45</v>
      </c>
      <c r="B882" s="28" t="s">
        <v>2877</v>
      </c>
    </row>
    <row r="883" spans="1:4" x14ac:dyDescent="0.35">
      <c r="A883" s="30">
        <f ca="1">IF(RANDBETWEEN(0,1)=0,RANDBETWEEN(60,80)/100,RANDBETWEEN(120,140)/100)</f>
        <v>0.71</v>
      </c>
      <c r="B883" s="28" t="s">
        <v>2674</v>
      </c>
    </row>
    <row r="884" spans="1:4" x14ac:dyDescent="0.35">
      <c r="A884" s="30">
        <f ca="1">ROUND((1+3*A883)/4,2)</f>
        <v>0.78</v>
      </c>
      <c r="B884" s="28" t="s">
        <v>3444</v>
      </c>
    </row>
    <row r="885" spans="1:4" x14ac:dyDescent="0.35">
      <c r="A885" s="31">
        <f ca="1">ROUND(A883*A878/A879,2)</f>
        <v>12.35</v>
      </c>
      <c r="B885" s="28" t="s">
        <v>2110</v>
      </c>
    </row>
    <row r="886" spans="1:4" x14ac:dyDescent="0.35">
      <c r="A886" s="28">
        <f ca="1">ROUND(A880*A881*A882/A879,2)</f>
        <v>1.31</v>
      </c>
      <c r="B886" s="28" t="s">
        <v>3148</v>
      </c>
    </row>
    <row r="887" spans="1:4" x14ac:dyDescent="0.35">
      <c r="A887" s="31">
        <f ca="1">ROUND(A884*(A878+A880*A881*(1-A882))/A879,2)</f>
        <v>14.81</v>
      </c>
      <c r="B887" s="28" t="s">
        <v>608</v>
      </c>
    </row>
    <row r="888" spans="1:4" x14ac:dyDescent="0.35">
      <c r="A888" s="14">
        <f ca="1">IF(ABS((A887+A886)/A885-1)&lt;0.08,"RECALCULATE",(A887+A886)/A885-1)</f>
        <v>0.3052631578947369</v>
      </c>
      <c r="B888" s="28" t="s">
        <v>607</v>
      </c>
    </row>
    <row r="889" spans="1:4" ht="16" thickBot="1" x14ac:dyDescent="0.4"/>
    <row r="890" spans="1:4" ht="16.5" thickTop="1" thickBot="1" x14ac:dyDescent="0.4">
      <c r="B890" s="76" t="str">
        <f ca="1">[1]!std_ans($C$890)</f>
        <v>D</v>
      </c>
      <c r="C890" s="79" t="str">
        <f ca="1" xml:space="preserve"> "/\" &amp;RANDBETWEEN( 1,120) &amp; "/\" &amp;RANDBETWEEN( 1,120) &amp; "/\" &amp;0.1 &amp; "/\" &amp; A887</f>
        <v>/\33/\102/\0.1/\14.81</v>
      </c>
      <c r="D890" s="80" t="s">
        <v>3194</v>
      </c>
    </row>
    <row r="891" spans="1:4" ht="16" thickTop="1" x14ac:dyDescent="0.35">
      <c r="B891" s="96">
        <f ca="1">[1]!stdnum_A($C$890)</f>
        <v>10.115429273956694</v>
      </c>
      <c r="C891" s="82"/>
      <c r="D891" s="77"/>
    </row>
    <row r="892" spans="1:4" x14ac:dyDescent="0.35">
      <c r="B892" s="96">
        <f ca="1">[1]!stdnum_B($C$890)</f>
        <v>13.463636363636363</v>
      </c>
      <c r="C892" s="82"/>
      <c r="D892" s="77"/>
    </row>
    <row r="893" spans="1:4" x14ac:dyDescent="0.35">
      <c r="B893" s="96">
        <f ca="1">[1]!stdnum_C($C$890)</f>
        <v>12.239669421487603</v>
      </c>
      <c r="C893" s="82"/>
      <c r="D893" s="77"/>
    </row>
    <row r="894" spans="1:4" x14ac:dyDescent="0.35">
      <c r="B894" s="96">
        <f ca="1">[1]!stdnum_D($C$890)</f>
        <v>14.81</v>
      </c>
      <c r="C894" s="82"/>
      <c r="D894" s="77"/>
    </row>
    <row r="895" spans="1:4" ht="16" thickBot="1" x14ac:dyDescent="0.4">
      <c r="B895" s="97">
        <f ca="1">[1]!stdnum_E($C$890)</f>
        <v>11.126972201352364</v>
      </c>
      <c r="C895" s="84"/>
      <c r="D895" s="78"/>
    </row>
    <row r="896" spans="1:4" ht="16" thickTop="1" x14ac:dyDescent="0.35"/>
    <row r="898" spans="1:6" x14ac:dyDescent="0.35">
      <c r="A898" s="88" t="s">
        <v>1530</v>
      </c>
    </row>
    <row r="899" spans="1:6" x14ac:dyDescent="0.35">
      <c r="A899" s="8">
        <f ca="1">RANDBETWEEN(25,50)*100</f>
        <v>3900</v>
      </c>
      <c r="B899" s="28" t="s">
        <v>2689</v>
      </c>
      <c r="E899" s="8">
        <f ca="1">RANDBETWEEN(25,50)*100</f>
        <v>2500</v>
      </c>
      <c r="F899" s="2" t="s">
        <v>2624</v>
      </c>
    </row>
    <row r="900" spans="1:6" x14ac:dyDescent="0.35">
      <c r="A900" s="28">
        <f ca="1">RANDBETWEEN(10,25)*10</f>
        <v>250</v>
      </c>
      <c r="B900" s="28" t="s">
        <v>2673</v>
      </c>
      <c r="E900" s="10">
        <f ca="1">A899+E899</f>
        <v>6400</v>
      </c>
      <c r="F900" s="2" t="s">
        <v>2625</v>
      </c>
    </row>
    <row r="901" spans="1:6" x14ac:dyDescent="0.35">
      <c r="A901" s="8">
        <f ca="1">D901*E900*A902</f>
        <v>1443.84</v>
      </c>
      <c r="B901" s="28" t="s">
        <v>1679</v>
      </c>
      <c r="D901" s="62">
        <f ca="1">RANDBETWEEN(14,50)/10</f>
        <v>4.8</v>
      </c>
      <c r="E901" s="14">
        <f ca="1">RANDBETWEEN(45,80)/1000</f>
        <v>6.2E-2</v>
      </c>
      <c r="F901" s="2" t="s">
        <v>1677</v>
      </c>
    </row>
    <row r="902" spans="1:6" x14ac:dyDescent="0.35">
      <c r="A902" s="14">
        <f ca="1">RANDBETWEEN(45,80)/1000</f>
        <v>4.7E-2</v>
      </c>
      <c r="B902" s="28" t="s">
        <v>357</v>
      </c>
      <c r="E902" s="8">
        <f ca="1">A901/(1+E901)</f>
        <v>1359.5480225988699</v>
      </c>
      <c r="F902" s="2" t="s">
        <v>1678</v>
      </c>
    </row>
    <row r="903" spans="1:6" x14ac:dyDescent="0.35">
      <c r="A903" s="12">
        <f ca="1">0.05*RANDBETWEEN(6,12)</f>
        <v>0.5</v>
      </c>
      <c r="B903" s="28" t="s">
        <v>2877</v>
      </c>
    </row>
    <row r="904" spans="1:6" x14ac:dyDescent="0.35">
      <c r="A904" s="332">
        <f ca="1">RANDBETWEEN(80,350)/10</f>
        <v>21.6</v>
      </c>
      <c r="B904" s="28" t="s">
        <v>1676</v>
      </c>
    </row>
    <row r="905" spans="1:6" x14ac:dyDescent="0.35">
      <c r="A905" s="332">
        <f ca="1">A904</f>
        <v>21.6</v>
      </c>
      <c r="B905" s="28" t="s">
        <v>2220</v>
      </c>
    </row>
    <row r="906" spans="1:6" x14ac:dyDescent="0.35">
      <c r="A906" s="31">
        <f ca="1">ROUND(A904*E902/A900,2)</f>
        <v>117.46</v>
      </c>
      <c r="B906" s="28" t="s">
        <v>2110</v>
      </c>
    </row>
    <row r="907" spans="1:6" x14ac:dyDescent="0.35">
      <c r="A907" s="28">
        <f ca="1">ROUND(A901*A903/A900,2)</f>
        <v>2.89</v>
      </c>
      <c r="B907" s="28" t="s">
        <v>3148</v>
      </c>
    </row>
    <row r="908" spans="1:6" x14ac:dyDescent="0.35">
      <c r="A908" s="31">
        <f ca="1">ROUND(A905*A901/A900,2)</f>
        <v>124.75</v>
      </c>
      <c r="B908" s="28" t="s">
        <v>608</v>
      </c>
    </row>
    <row r="909" spans="1:6" x14ac:dyDescent="0.35">
      <c r="A909" s="14">
        <f ca="1">IF(ABS((A908+A907)/A906-1)&lt;0.06,"RECALCULATE",(A908+A907)/A906-1)</f>
        <v>8.6667801804869882E-2</v>
      </c>
      <c r="B909" s="28" t="s">
        <v>607</v>
      </c>
    </row>
    <row r="910" spans="1:6" ht="16" thickBot="1" x14ac:dyDescent="0.4"/>
    <row r="911" spans="1:6" ht="16.5" thickTop="1" thickBot="1" x14ac:dyDescent="0.4">
      <c r="B911" s="76" t="str">
        <f ca="1">[1]!std_ans($C$911)</f>
        <v>D</v>
      </c>
      <c r="C911" s="79" t="str">
        <f ca="1" xml:space="preserve"> "/\" &amp;RANDBETWEEN( 1,120) &amp; "/\" &amp;RANDBETWEEN( 1,120) &amp; "/\" &amp;0.1 &amp; "/\" &amp; A909</f>
        <v>/\107/\7/\0.1/\0.0866678018048699</v>
      </c>
      <c r="D911" s="80" t="s">
        <v>2221</v>
      </c>
    </row>
    <row r="912" spans="1:6" ht="16" thickTop="1" x14ac:dyDescent="0.35">
      <c r="B912" s="92">
        <f ca="1">IF(ABS(A909)&lt;0.03,"#RECALCULATE",[1]!stdnum_A($C$911))</f>
        <v>0.12689032862251004</v>
      </c>
      <c r="C912" s="82"/>
      <c r="D912" s="77"/>
    </row>
    <row r="913" spans="1:7" x14ac:dyDescent="0.35">
      <c r="B913" s="92">
        <f ca="1">[1]!stdnum_B($C$911)</f>
        <v>0.10486804018389259</v>
      </c>
      <c r="C913" s="82"/>
      <c r="D913" s="77"/>
    </row>
    <row r="914" spans="1:7" x14ac:dyDescent="0.35">
      <c r="B914" s="92">
        <f ca="1">[1]!stdnum_C($C$911)</f>
        <v>0.11535484420228187</v>
      </c>
      <c r="C914" s="82"/>
      <c r="D914" s="77"/>
    </row>
    <row r="915" spans="1:7" x14ac:dyDescent="0.35">
      <c r="B915" s="92">
        <f ca="1">[1]!stdnum_D($C$911)</f>
        <v>8.6667801804869896E-2</v>
      </c>
      <c r="C915" s="82"/>
      <c r="D915" s="77"/>
    </row>
    <row r="916" spans="1:7" ht="16" thickBot="1" x14ac:dyDescent="0.4">
      <c r="B916" s="93">
        <f ca="1">[1]!stdnum_E($C$911)</f>
        <v>9.5334581985356895E-2</v>
      </c>
      <c r="C916" s="84"/>
      <c r="D916" s="78"/>
    </row>
    <row r="917" spans="1:7" ht="16" thickTop="1" x14ac:dyDescent="0.35"/>
    <row r="919" spans="1:7" ht="18" x14ac:dyDescent="0.35">
      <c r="A919" s="120" t="s">
        <v>2535</v>
      </c>
    </row>
    <row r="920" spans="1:7" x14ac:dyDescent="0.35">
      <c r="B920" s="22" t="s">
        <v>3391</v>
      </c>
      <c r="F920" s="22" t="s">
        <v>3393</v>
      </c>
    </row>
    <row r="921" spans="1:7" x14ac:dyDescent="0.35">
      <c r="A921" s="8">
        <f ca="1">RANDBETWEEN(20,40)*15</f>
        <v>300</v>
      </c>
      <c r="B921" s="2" t="s">
        <v>729</v>
      </c>
      <c r="C921" s="8"/>
      <c r="F921" s="4" t="s">
        <v>2862</v>
      </c>
      <c r="G921" s="8">
        <f ca="1">ROUND(A923*RANDBETWEEN(30,60)/10,-2)</f>
        <v>12900</v>
      </c>
    </row>
    <row r="922" spans="1:7" x14ac:dyDescent="0.35">
      <c r="A922" s="99">
        <f ca="1">RANDBETWEEN(15,40)*100</f>
        <v>2000</v>
      </c>
      <c r="B922" s="11" t="s">
        <v>2575</v>
      </c>
      <c r="C922" s="99"/>
      <c r="D922" s="11"/>
      <c r="F922" s="4" t="s">
        <v>3392</v>
      </c>
      <c r="G922" s="8">
        <f ca="1">G921-G923</f>
        <v>12400</v>
      </c>
    </row>
    <row r="923" spans="1:7" x14ac:dyDescent="0.35">
      <c r="A923" s="8">
        <f ca="1">A921+A922</f>
        <v>2300</v>
      </c>
      <c r="B923" s="2" t="s">
        <v>2439</v>
      </c>
      <c r="C923" s="8"/>
      <c r="F923" s="4" t="s">
        <v>2072</v>
      </c>
      <c r="G923" s="8">
        <f ca="1">ROUND(A923*RANDBETWEEN(100,300)/1000,-2)</f>
        <v>500</v>
      </c>
    </row>
    <row r="924" spans="1:7" x14ac:dyDescent="0.35">
      <c r="F924" s="4" t="s">
        <v>2073</v>
      </c>
      <c r="G924" s="8">
        <f ca="1">ROUND(G923*RANDBETWEEN(30,70)/100,-1)</f>
        <v>240</v>
      </c>
    </row>
    <row r="925" spans="1:7" x14ac:dyDescent="0.35">
      <c r="F925" s="4" t="s">
        <v>1608</v>
      </c>
      <c r="G925" s="165">
        <f ca="1">G923-G924</f>
        <v>260</v>
      </c>
    </row>
    <row r="927" spans="1:7" x14ac:dyDescent="0.35">
      <c r="A927" s="407" t="s">
        <v>179</v>
      </c>
      <c r="B927" s="407"/>
      <c r="C927" s="407"/>
      <c r="E927" s="22"/>
      <c r="F927" s="2">
        <f ca="1">A930/(1-A930)</f>
        <v>1</v>
      </c>
      <c r="G927" s="2" t="s">
        <v>1</v>
      </c>
    </row>
    <row r="928" spans="1:7" x14ac:dyDescent="0.35">
      <c r="A928" s="29">
        <f ca="1">G925*(1+F927)/(A923-G925*(1+F927))</f>
        <v>0.29213483146067415</v>
      </c>
      <c r="B928" s="2" t="s">
        <v>3594</v>
      </c>
      <c r="E928" s="13"/>
    </row>
    <row r="929" spans="1:5" x14ac:dyDescent="0.35">
      <c r="A929" s="8">
        <f ca="1">A923*(1+A928)</f>
        <v>2971.9101123595506</v>
      </c>
      <c r="B929" s="2" t="s">
        <v>2533</v>
      </c>
      <c r="E929" s="27"/>
    </row>
    <row r="930" spans="1:5" x14ac:dyDescent="0.35">
      <c r="A930" s="12">
        <f ca="1">5*RANDBETWEEN(7,14)/100</f>
        <v>0.5</v>
      </c>
      <c r="B930" s="2" t="s">
        <v>2534</v>
      </c>
    </row>
    <row r="931" spans="1:5" ht="16" thickBot="1" x14ac:dyDescent="0.4"/>
    <row r="932" spans="1:5" ht="16.5" thickTop="1" thickBot="1" x14ac:dyDescent="0.4">
      <c r="B932" s="76" t="str">
        <f ca="1">[1]!std_ans($C$932)</f>
        <v>E</v>
      </c>
      <c r="C932" s="79" t="str">
        <f ca="1" xml:space="preserve"> "/\" &amp;RANDBETWEEN( 1,120) &amp; "/\" &amp;RANDBETWEEN( 1,120) &amp; "/\" &amp;0.1 &amp; "/\" &amp; A929</f>
        <v>/\42/\14/\0.1/\2971.91011235955</v>
      </c>
      <c r="D932" s="80" t="s">
        <v>2536</v>
      </c>
    </row>
    <row r="933" spans="1:5" ht="16" thickTop="1" x14ac:dyDescent="0.35">
      <c r="B933" s="101">
        <f ca="1">[1]!stdnum_A($C$932)</f>
        <v>3955.6123595505624</v>
      </c>
      <c r="C933" s="82"/>
      <c r="D933" s="77"/>
    </row>
    <row r="934" spans="1:5" x14ac:dyDescent="0.35">
      <c r="B934" s="101">
        <f ca="1">[1]!stdnum_B($C$932)</f>
        <v>4351.1735955056183</v>
      </c>
      <c r="C934" s="82"/>
      <c r="D934" s="77"/>
    </row>
    <row r="935" spans="1:5" x14ac:dyDescent="0.35">
      <c r="B935" s="101">
        <f ca="1">[1]!stdnum_C($C$932)</f>
        <v>3596.0112359550562</v>
      </c>
      <c r="C935" s="82"/>
      <c r="D935" s="77"/>
    </row>
    <row r="936" spans="1:5" x14ac:dyDescent="0.35">
      <c r="B936" s="101">
        <f ca="1">[1]!stdnum_D($C$932)</f>
        <v>3269.1011235955052</v>
      </c>
      <c r="C936" s="82"/>
      <c r="D936" s="77"/>
    </row>
    <row r="937" spans="1:5" ht="16" thickBot="1" x14ac:dyDescent="0.4">
      <c r="B937" s="102">
        <f ca="1">[1]!stdnum_E($C$932)</f>
        <v>2971.9101123595501</v>
      </c>
      <c r="C937" s="84"/>
      <c r="D937" s="78"/>
    </row>
    <row r="938" spans="1:5" ht="16" thickTop="1" x14ac:dyDescent="0.35"/>
    <row r="940" spans="1:5" x14ac:dyDescent="0.35">
      <c r="A940" s="120" t="s">
        <v>585</v>
      </c>
    </row>
    <row r="941" spans="1:5" x14ac:dyDescent="0.35">
      <c r="B941" s="22" t="s">
        <v>2358</v>
      </c>
    </row>
    <row r="942" spans="1:5" x14ac:dyDescent="0.35">
      <c r="A942" s="8">
        <f ca="1">ROUND(A943*RANDBETWEEN(30,50)/100,-2)</f>
        <v>3700</v>
      </c>
      <c r="B942" s="2" t="s">
        <v>729</v>
      </c>
      <c r="C942" s="8">
        <f ca="1">C944-C943</f>
        <v>4100</v>
      </c>
      <c r="D942" s="2" t="s">
        <v>2876</v>
      </c>
    </row>
    <row r="943" spans="1:5" x14ac:dyDescent="0.35">
      <c r="A943" s="99">
        <f ca="1">RANDBETWEEN(80,95)*100</f>
        <v>8800</v>
      </c>
      <c r="B943" s="11" t="s">
        <v>2575</v>
      </c>
      <c r="C943" s="99">
        <f ca="1">ROUND(A944*RANDBETWEEN(50,80)/100,-2)</f>
        <v>8400</v>
      </c>
      <c r="D943" s="11" t="s">
        <v>3390</v>
      </c>
    </row>
    <row r="944" spans="1:5" x14ac:dyDescent="0.35">
      <c r="A944" s="8">
        <f ca="1">A942+A943</f>
        <v>12500</v>
      </c>
      <c r="B944" s="2" t="s">
        <v>2439</v>
      </c>
      <c r="C944" s="8">
        <f ca="1">A944</f>
        <v>12500</v>
      </c>
    </row>
    <row r="946" spans="1:9" x14ac:dyDescent="0.35">
      <c r="B946" s="22" t="s">
        <v>2198</v>
      </c>
    </row>
    <row r="947" spans="1:9" x14ac:dyDescent="0.35">
      <c r="A947" s="8">
        <f ca="1">ROUND(A948*RANDBETWEEN(30,50)/100,-2)</f>
        <v>1600</v>
      </c>
      <c r="B947" s="2" t="s">
        <v>729</v>
      </c>
      <c r="C947" s="8">
        <f ca="1">C949-C948</f>
        <v>2700</v>
      </c>
      <c r="D947" s="2" t="s">
        <v>2876</v>
      </c>
    </row>
    <row r="948" spans="1:9" x14ac:dyDescent="0.35">
      <c r="A948" s="99">
        <f ca="1">RANDBETWEEN(30,65)*100</f>
        <v>5400</v>
      </c>
      <c r="B948" s="11" t="s">
        <v>2575</v>
      </c>
      <c r="C948" s="99">
        <f ca="1">ROUND(A949*RANDBETWEEN(50,80)/100,-2)</f>
        <v>4300</v>
      </c>
      <c r="D948" s="11" t="s">
        <v>3390</v>
      </c>
    </row>
    <row r="949" spans="1:9" x14ac:dyDescent="0.35">
      <c r="A949" s="8">
        <f ca="1">A947+A948</f>
        <v>7000</v>
      </c>
      <c r="B949" s="2" t="s">
        <v>2439</v>
      </c>
      <c r="C949" s="8">
        <f ca="1">A949</f>
        <v>7000</v>
      </c>
    </row>
    <row r="951" spans="1:9" x14ac:dyDescent="0.35">
      <c r="A951" s="407" t="s">
        <v>417</v>
      </c>
      <c r="B951" s="407"/>
      <c r="C951" s="407"/>
      <c r="E951" s="22" t="s">
        <v>471</v>
      </c>
      <c r="I951" s="2" t="s">
        <v>1121</v>
      </c>
    </row>
    <row r="952" spans="1:9" x14ac:dyDescent="0.35">
      <c r="A952" s="114">
        <f ca="1">RANDBETWEEN(30,65)/10</f>
        <v>4</v>
      </c>
      <c r="B952" s="2" t="s">
        <v>3379</v>
      </c>
      <c r="E952" s="114">
        <f ca="1">RANDBETWEEN(5,18)/10</f>
        <v>1.7</v>
      </c>
      <c r="F952" s="2" t="s">
        <v>3379</v>
      </c>
      <c r="I952" s="8">
        <f ca="1">A952*C943+E952*C948</f>
        <v>40910</v>
      </c>
    </row>
    <row r="953" spans="1:9" ht="16" thickBot="1" x14ac:dyDescent="0.4"/>
    <row r="954" spans="1:9" ht="16.5" thickTop="1" thickBot="1" x14ac:dyDescent="0.4">
      <c r="B954" s="76" t="str">
        <f ca="1">[1]!std_ans($C$954)</f>
        <v>A</v>
      </c>
      <c r="C954" s="79" t="str">
        <f ca="1" xml:space="preserve"> "/\" &amp;RANDBETWEEN( 1,120) &amp; "/\" &amp;RANDBETWEEN( 1,120) &amp; "/\" &amp;0.1 &amp; "/\" &amp; I952</f>
        <v>/\14/\32/\0.1/\40910</v>
      </c>
      <c r="D954" s="80" t="s">
        <v>584</v>
      </c>
    </row>
    <row r="955" spans="1:9" ht="16" thickTop="1" x14ac:dyDescent="0.35">
      <c r="B955" s="110">
        <f ca="1">ROUND([1]!stdnum_A($C$954),-1)</f>
        <v>40910</v>
      </c>
      <c r="C955" s="82"/>
      <c r="D955" s="77"/>
    </row>
    <row r="956" spans="1:9" x14ac:dyDescent="0.35">
      <c r="B956" s="110">
        <f ca="1">ROUND([1]!stdnum_B($C$954),-1)</f>
        <v>54450</v>
      </c>
      <c r="C956" s="82"/>
      <c r="D956" s="77"/>
    </row>
    <row r="957" spans="1:9" x14ac:dyDescent="0.35">
      <c r="B957" s="110">
        <f ca="1">ROUND([1]!stdnum_C($C$954),-1)</f>
        <v>45000</v>
      </c>
      <c r="C957" s="82"/>
      <c r="D957" s="77"/>
    </row>
    <row r="958" spans="1:9" x14ac:dyDescent="0.35">
      <c r="B958" s="110">
        <f ca="1">ROUND([1]!stdnum_D($C$954),-1)</f>
        <v>49500</v>
      </c>
      <c r="C958" s="82"/>
      <c r="D958" s="77"/>
    </row>
    <row r="959" spans="1:9" ht="16" thickBot="1" x14ac:dyDescent="0.4">
      <c r="B959" s="111">
        <f ca="1">ROUND([1]!stdnum_E($C$954),-1)</f>
        <v>37190</v>
      </c>
      <c r="C959" s="84"/>
      <c r="D959" s="78"/>
    </row>
    <row r="960" spans="1:9" ht="16" thickTop="1" x14ac:dyDescent="0.35"/>
    <row r="962" spans="1:10" x14ac:dyDescent="0.35">
      <c r="A962" s="88" t="s">
        <v>589</v>
      </c>
    </row>
    <row r="963" spans="1:10" x14ac:dyDescent="0.35">
      <c r="B963" s="22" t="s">
        <v>3391</v>
      </c>
      <c r="H963" s="22" t="s">
        <v>497</v>
      </c>
    </row>
    <row r="964" spans="1:10" x14ac:dyDescent="0.35">
      <c r="A964" s="8">
        <f ca="1">RANDBETWEEN(20,40)*15</f>
        <v>450</v>
      </c>
      <c r="B964" s="2" t="s">
        <v>2875</v>
      </c>
      <c r="C964" s="8">
        <f ca="1">C967-C966-C965</f>
        <v>1385</v>
      </c>
      <c r="D964" s="2" t="s">
        <v>2577</v>
      </c>
      <c r="G964" s="8">
        <f ca="1">RANDBETWEEN(30,50)*15</f>
        <v>720</v>
      </c>
      <c r="H964" s="2" t="s">
        <v>2875</v>
      </c>
      <c r="I964" s="8">
        <f ca="1">I967-I966-I965</f>
        <v>445</v>
      </c>
      <c r="J964" s="2" t="s">
        <v>2577</v>
      </c>
    </row>
    <row r="965" spans="1:10" x14ac:dyDescent="0.35">
      <c r="A965" s="8">
        <f ca="1">RANDBETWEEN(40,60)*15</f>
        <v>645</v>
      </c>
      <c r="B965" s="2" t="s">
        <v>586</v>
      </c>
      <c r="C965" s="8">
        <f ca="1">ROUND(A967*RANDBETWEEN(20,30)/100,-1)</f>
        <v>1410</v>
      </c>
      <c r="D965" s="2" t="s">
        <v>2876</v>
      </c>
      <c r="G965" s="8">
        <f ca="1">RANDBETWEEN(40,60)*15</f>
        <v>735</v>
      </c>
      <c r="H965" s="2" t="s">
        <v>586</v>
      </c>
      <c r="I965" s="8">
        <f ca="1">ROUND(G967*RANDBETWEEN(20,30)/100,-1)</f>
        <v>1010</v>
      </c>
      <c r="J965" s="2" t="s">
        <v>2876</v>
      </c>
    </row>
    <row r="966" spans="1:10" x14ac:dyDescent="0.35">
      <c r="A966" s="99">
        <f ca="1">RANDBETWEEN(15,40)*100</f>
        <v>3600</v>
      </c>
      <c r="B966" s="11" t="s">
        <v>2575</v>
      </c>
      <c r="C966" s="99">
        <f ca="1">ROUND(A967*RANDBETWEEN(30,65)/100,-2)</f>
        <v>1900</v>
      </c>
      <c r="D966" s="11" t="s">
        <v>3390</v>
      </c>
      <c r="G966" s="99">
        <f ca="1">RANDBETWEEN(15,40)*100</f>
        <v>1900</v>
      </c>
      <c r="H966" s="11" t="s">
        <v>2575</v>
      </c>
      <c r="I966" s="99">
        <f ca="1">ROUND(G967*RANDBETWEEN(30,65)/100,-2)</f>
        <v>1900</v>
      </c>
      <c r="J966" s="11" t="s">
        <v>3390</v>
      </c>
    </row>
    <row r="967" spans="1:10" x14ac:dyDescent="0.35">
      <c r="A967" s="8">
        <f ca="1">A964+A966+A965</f>
        <v>4695</v>
      </c>
      <c r="B967" s="2" t="s">
        <v>2439</v>
      </c>
      <c r="C967" s="8">
        <f ca="1">A967</f>
        <v>4695</v>
      </c>
      <c r="G967" s="8">
        <f ca="1">G964+G966+G965</f>
        <v>3355</v>
      </c>
      <c r="H967" s="2" t="s">
        <v>2439</v>
      </c>
      <c r="I967" s="8">
        <f ca="1">G967</f>
        <v>3355</v>
      </c>
    </row>
    <row r="969" spans="1:10" x14ac:dyDescent="0.35">
      <c r="A969" s="10">
        <f ca="1">IF(ABS(G964-A964)&lt;20,"#RECALCULATE",G964-A964)</f>
        <v>270</v>
      </c>
      <c r="B969" s="2" t="s">
        <v>587</v>
      </c>
    </row>
    <row r="970" spans="1:10" ht="16" thickBot="1" x14ac:dyDescent="0.4"/>
    <row r="971" spans="1:10" ht="16.5" thickTop="1" thickBot="1" x14ac:dyDescent="0.4">
      <c r="B971" s="76" t="str">
        <f ca="1">[1]!std_ans($C$971)</f>
        <v>A</v>
      </c>
      <c r="C971" s="79" t="str">
        <f ca="1" xml:space="preserve"> "/\" &amp;RANDBETWEEN( 1,120) &amp; "/\" &amp;RANDBETWEEN( 1,120) &amp; "/\" &amp;0.15 &amp; "/\" &amp; A969</f>
        <v>/\13/\18/\0.15/\270</v>
      </c>
      <c r="D971" s="80" t="s">
        <v>588</v>
      </c>
    </row>
    <row r="972" spans="1:10" ht="16" thickTop="1" x14ac:dyDescent="0.35">
      <c r="B972" s="101">
        <f ca="1">MROUND([1]!stdnum_A($C$971),SIGN(A969)*5)</f>
        <v>270</v>
      </c>
      <c r="C972" s="82"/>
      <c r="D972" s="77"/>
    </row>
    <row r="973" spans="1:10" x14ac:dyDescent="0.35">
      <c r="B973" s="101">
        <f ca="1">MROUND([1]!stdnum_B($C$971),SIGN(A969)*5)</f>
        <v>355</v>
      </c>
      <c r="C973" s="82"/>
      <c r="D973" s="77"/>
    </row>
    <row r="974" spans="1:10" x14ac:dyDescent="0.35">
      <c r="B974" s="101">
        <f ca="1">MROUND([1]!stdnum_C($C$971),SIGN(A969)*5)</f>
        <v>410</v>
      </c>
      <c r="C974" s="82"/>
      <c r="D974" s="77"/>
    </row>
    <row r="975" spans="1:10" x14ac:dyDescent="0.35">
      <c r="B975" s="101">
        <f ca="1">MROUND([1]!stdnum_D($C$971),SIGN(A969)*5)</f>
        <v>470</v>
      </c>
      <c r="C975" s="82"/>
      <c r="D975" s="77"/>
    </row>
    <row r="976" spans="1:10" ht="16" thickBot="1" x14ac:dyDescent="0.4">
      <c r="B976" s="102">
        <f ca="1">MROUND([1]!stdnum_E($C$971),SIGN(A969)*5)</f>
        <v>310</v>
      </c>
      <c r="C976" s="84"/>
      <c r="D976" s="78"/>
    </row>
    <row r="977" spans="1:9" ht="16" thickTop="1" x14ac:dyDescent="0.35"/>
    <row r="979" spans="1:9" x14ac:dyDescent="0.35">
      <c r="A979" s="88" t="s">
        <v>1664</v>
      </c>
    </row>
    <row r="981" spans="1:9" x14ac:dyDescent="0.35">
      <c r="B981" s="22" t="s">
        <v>3391</v>
      </c>
    </row>
    <row r="982" spans="1:9" x14ac:dyDescent="0.35">
      <c r="A982" s="8"/>
      <c r="C982" s="8">
        <f ca="1">C984-C983</f>
        <v>1128</v>
      </c>
      <c r="D982" s="2" t="s">
        <v>2876</v>
      </c>
    </row>
    <row r="983" spans="1:9" x14ac:dyDescent="0.35">
      <c r="A983" s="98" t="s">
        <v>2481</v>
      </c>
      <c r="B983" s="11"/>
      <c r="C983" s="99">
        <f ca="1">ROUND(A984*RANDBETWEEN(50,80)/100,0)</f>
        <v>3572</v>
      </c>
      <c r="D983" s="11" t="s">
        <v>3390</v>
      </c>
    </row>
    <row r="984" spans="1:9" x14ac:dyDescent="0.35">
      <c r="A984" s="8">
        <f ca="1">RANDBETWEEN(30,50)*100</f>
        <v>4700</v>
      </c>
      <c r="B984" s="2" t="s">
        <v>2439</v>
      </c>
      <c r="C984" s="8">
        <f ca="1">A984</f>
        <v>4700</v>
      </c>
    </row>
    <row r="986" spans="1:9" x14ac:dyDescent="0.35">
      <c r="A986" s="10">
        <f ca="1">ROUND(A984*3*0.05*(1+RANDBETWEEN(16,25)/100)^(IF(RANDBETWEEN(0,1)=0,1,-1)),0)</f>
        <v>818</v>
      </c>
      <c r="B986" s="2" t="s">
        <v>1622</v>
      </c>
    </row>
    <row r="987" spans="1:9" x14ac:dyDescent="0.35">
      <c r="A987" s="10">
        <f ca="1">C983+MAX(B989,E989)+ROUND(RANDBETWEEN(1,10)*25*(1+RANDBETWEEN(16,25)/100)^(IF(RANDBETWEEN(0,1)=0,1,-1)),0)</f>
        <v>4137</v>
      </c>
      <c r="B987" s="2" t="s">
        <v>593</v>
      </c>
      <c r="F987" s="10"/>
      <c r="I987" s="10"/>
    </row>
    <row r="988" spans="1:9" x14ac:dyDescent="0.35">
      <c r="B988" s="10">
        <f ca="1">ROUND(A986*RANDBETWEEN(3,18)*5/100,0)</f>
        <v>409</v>
      </c>
      <c r="C988" s="2" t="s">
        <v>590</v>
      </c>
      <c r="E988" s="8"/>
      <c r="H988" s="8"/>
    </row>
    <row r="989" spans="1:9" x14ac:dyDescent="0.35">
      <c r="B989" s="10">
        <f ca="1">A986-B988</f>
        <v>409</v>
      </c>
      <c r="C989" s="2" t="s">
        <v>592</v>
      </c>
      <c r="E989" s="10"/>
      <c r="H989" s="10"/>
    </row>
    <row r="990" spans="1:9" x14ac:dyDescent="0.35">
      <c r="B990" s="10">
        <f ca="1">A987-B989-C983</f>
        <v>156</v>
      </c>
      <c r="C990" s="2" t="s">
        <v>591</v>
      </c>
      <c r="E990" s="8"/>
      <c r="H990" s="8"/>
    </row>
    <row r="991" spans="1:9" ht="16" thickBot="1" x14ac:dyDescent="0.4">
      <c r="B991" s="10"/>
      <c r="E991" s="10"/>
    </row>
    <row r="992" spans="1:9" ht="16.5" thickTop="1" thickBot="1" x14ac:dyDescent="0.4">
      <c r="B992" s="76" t="str">
        <f ca="1">[1]!alpha_ans($C$992)</f>
        <v>D</v>
      </c>
      <c r="C992" s="79" t="str">
        <f ca="1" xml:space="preserve"> "/\" &amp;RANDBETWEEN( 1,5) &amp; "/\" &amp;RANDBETWEEN( 1,120) &amp; "/\" &amp;RANDBETWEEN( 1,6) &amp; "/\" &amp;RANDBETWEEN( 1,2) &amp; "/\" &amp; B988 &amp; "/\" &amp; "Mask" &amp; "/\" &amp; "Mask" &amp; "/\" &amp; B990 &amp; "/\" &amp; "Mask"</f>
        <v>/\4/\22/\3/\2/\409/\Mask/\Mask/\156/\Mask</v>
      </c>
      <c r="D992" s="80" t="s">
        <v>594</v>
      </c>
    </row>
    <row r="993" spans="1:6" ht="16" thickTop="1" x14ac:dyDescent="0.35">
      <c r="B993" s="101">
        <f ca="1">[1]!onepair_A($C$992)</f>
        <v>409</v>
      </c>
      <c r="C993" s="142">
        <f ca="1">[1]!onepair_A2($C$992)</f>
        <v>179.4</v>
      </c>
      <c r="D993" s="77"/>
    </row>
    <row r="994" spans="1:6" x14ac:dyDescent="0.35">
      <c r="B994" s="101">
        <f ca="1">[1]!onepair_B($C$992)</f>
        <v>470.35</v>
      </c>
      <c r="C994" s="142">
        <f ca="1">[1]!onepair_B2($C$992)</f>
        <v>179.4</v>
      </c>
      <c r="D994" s="77"/>
    </row>
    <row r="995" spans="1:6" x14ac:dyDescent="0.35">
      <c r="B995" s="101">
        <f ca="1">[1]!onepair_C($C$992)</f>
        <v>355.65217391304299</v>
      </c>
      <c r="C995" s="142">
        <f ca="1">[1]!onepair_C2($C$992)</f>
        <v>179.4</v>
      </c>
      <c r="D995" s="77"/>
    </row>
    <row r="996" spans="1:6" x14ac:dyDescent="0.35">
      <c r="B996" s="101">
        <f ca="1">[1]!onepair_D($C$992)</f>
        <v>409</v>
      </c>
      <c r="C996" s="142">
        <f ca="1">[1]!onepair_D2($C$992)</f>
        <v>156</v>
      </c>
      <c r="D996" s="77"/>
    </row>
    <row r="997" spans="1:6" ht="16" thickBot="1" x14ac:dyDescent="0.4">
      <c r="B997" s="102">
        <f ca="1">[1]!onepair_E($C$992)</f>
        <v>355.65217391304299</v>
      </c>
      <c r="C997" s="320">
        <f ca="1">[1]!onepair_E2($C$992)</f>
        <v>156</v>
      </c>
      <c r="D997" s="78"/>
    </row>
    <row r="998" spans="1:6" ht="16" thickTop="1" x14ac:dyDescent="0.35"/>
    <row r="1001" spans="1:6" x14ac:dyDescent="0.35">
      <c r="A1001" s="88" t="s">
        <v>2350</v>
      </c>
    </row>
    <row r="1002" spans="1:6" x14ac:dyDescent="0.35">
      <c r="A1002" s="13">
        <f ca="1">RANDBETWEEN(5,18)*5.5</f>
        <v>93.5</v>
      </c>
      <c r="B1002" s="2" t="s">
        <v>2839</v>
      </c>
      <c r="E1002" s="14">
        <f ca="1">IF(ABS((A1004+A1003)/A1002-1)&lt;0.02,"#RECALCULATE",(A1004+A1003)/A1002-1)</f>
        <v>0.19005347593582878</v>
      </c>
      <c r="F1002" s="2" t="s">
        <v>378</v>
      </c>
    </row>
    <row r="1003" spans="1:6" x14ac:dyDescent="0.35">
      <c r="A1003" s="13">
        <f ca="1">ROUND(A1002*RANDBETWEEN(3,9)/100,2)</f>
        <v>3.74</v>
      </c>
      <c r="B1003" s="2" t="s">
        <v>2824</v>
      </c>
    </row>
    <row r="1004" spans="1:6" x14ac:dyDescent="0.35">
      <c r="A1004" s="13">
        <f ca="1">ROUND(A1002*CHOOSE(RANDBETWEEN(1,3),(1+RANDBETWEEN(3,7)/100)^(IF(RANDBETWEEN(0,1)=0,1,-1)), (1+RANDBETWEEN(8,13)/100)^(IF(RANDBETWEEN(0,1)=0,1,-1)),(1+RANDBETWEEN(14,17)/100)^(IF(RANDBETWEEN(0,1)=0,1,-1))),2)</f>
        <v>107.53</v>
      </c>
      <c r="B1004" s="2" t="s">
        <v>1560</v>
      </c>
    </row>
    <row r="1005" spans="1:6" ht="16" thickBot="1" x14ac:dyDescent="0.4"/>
    <row r="1006" spans="1:6" ht="16.5" thickTop="1" thickBot="1" x14ac:dyDescent="0.4">
      <c r="B1006" s="76" t="str">
        <f ca="1">[1]!std_ans($C$1006)</f>
        <v>B</v>
      </c>
      <c r="C1006" s="79" t="str">
        <f ca="1" xml:space="preserve"> "/\" &amp;RANDBETWEEN( 1,120) &amp; "/\" &amp;RANDBETWEEN( 1,120) &amp; "/\" &amp;0.1 &amp; "/\" &amp; E1002</f>
        <v>/\52/\92/\0.1/\0.190053475935829</v>
      </c>
      <c r="D1006" s="80" t="s">
        <v>2349</v>
      </c>
    </row>
    <row r="1007" spans="1:6" ht="16" thickTop="1" x14ac:dyDescent="0.35">
      <c r="B1007" s="92">
        <f ca="1">[1]!stdnum_A($C$1006)</f>
        <v>0.14278998943338012</v>
      </c>
      <c r="C1007" s="82"/>
      <c r="D1007" s="77"/>
    </row>
    <row r="1008" spans="1:6" x14ac:dyDescent="0.35">
      <c r="B1008" s="92">
        <f ca="1">[1]!stdnum_B($C$1006)</f>
        <v>0.190053475935829</v>
      </c>
      <c r="C1008" s="82"/>
      <c r="D1008" s="77"/>
    </row>
    <row r="1009" spans="1:12" x14ac:dyDescent="0.35">
      <c r="B1009" s="92">
        <f ca="1">[1]!stdnum_C($C$1006)</f>
        <v>0.17277588721438999</v>
      </c>
      <c r="C1009" s="82"/>
      <c r="D1009" s="77"/>
    </row>
    <row r="1010" spans="1:12" x14ac:dyDescent="0.35">
      <c r="B1010" s="92">
        <f ca="1">[1]!stdnum_D($C$1006)</f>
        <v>0.15706898837671815</v>
      </c>
      <c r="C1010" s="82"/>
      <c r="D1010" s="77"/>
    </row>
    <row r="1011" spans="1:12" ht="16" thickBot="1" x14ac:dyDescent="0.4">
      <c r="B1011" s="93">
        <f ca="1">[1]!stdnum_E($C$1006)</f>
        <v>0.20905882352941191</v>
      </c>
      <c r="C1011" s="84"/>
      <c r="D1011" s="78"/>
    </row>
    <row r="1012" spans="1:12" ht="16" thickTop="1" x14ac:dyDescent="0.35"/>
    <row r="1014" spans="1:12" x14ac:dyDescent="0.35">
      <c r="A1014" s="88" t="s">
        <v>3562</v>
      </c>
    </row>
    <row r="1015" spans="1:12" x14ac:dyDescent="0.35">
      <c r="A1015" s="8">
        <f ca="1">RANDBETWEEN(25,50)*100</f>
        <v>3800</v>
      </c>
      <c r="B1015" s="28" t="s">
        <v>2689</v>
      </c>
      <c r="E1015" s="8">
        <f ca="1">A1017*A1018*(1-A1019)</f>
        <v>373.60049999999995</v>
      </c>
      <c r="F1015" s="2" t="s">
        <v>2864</v>
      </c>
    </row>
    <row r="1016" spans="1:12" x14ac:dyDescent="0.35">
      <c r="A1016" s="28">
        <f ca="1">RANDBETWEEN(10,25)*10</f>
        <v>250</v>
      </c>
      <c r="B1016" s="28" t="s">
        <v>2673</v>
      </c>
      <c r="E1016" s="8">
        <f ca="1">RANDBETWEEN(25,50)*100</f>
        <v>3100</v>
      </c>
      <c r="F1016" s="2" t="s">
        <v>2624</v>
      </c>
    </row>
    <row r="1017" spans="1:12" x14ac:dyDescent="0.35">
      <c r="A1017" s="8">
        <f ca="1">D1017*E1017</f>
        <v>11730</v>
      </c>
      <c r="B1017" s="28" t="s">
        <v>3193</v>
      </c>
      <c r="D1017" s="62">
        <f ca="1">RANDBETWEEN(14,50)/10</f>
        <v>1.7</v>
      </c>
      <c r="E1017" s="10">
        <f ca="1">A1015+E1016</f>
        <v>6900</v>
      </c>
      <c r="F1017" s="2" t="s">
        <v>2625</v>
      </c>
    </row>
    <row r="1018" spans="1:12" x14ac:dyDescent="0.35">
      <c r="A1018" s="29">
        <f ca="1">RANDBETWEEN(45,80)/1000</f>
        <v>4.9000000000000002E-2</v>
      </c>
      <c r="B1018" s="28" t="s">
        <v>357</v>
      </c>
      <c r="E1018" s="8">
        <f ca="1">A1017*A1018</f>
        <v>574.77</v>
      </c>
      <c r="F1018" s="2" t="s">
        <v>3563</v>
      </c>
    </row>
    <row r="1019" spans="1:12" x14ac:dyDescent="0.35">
      <c r="A1019" s="12">
        <f ca="1">0.05*RANDBETWEEN(6,12)</f>
        <v>0.35000000000000003</v>
      </c>
      <c r="B1019" s="28" t="s">
        <v>2877</v>
      </c>
      <c r="E1019" s="13">
        <f ca="1">(A1015+E1015)/A1016</f>
        <v>16.694401999999997</v>
      </c>
      <c r="F1019" s="2" t="s">
        <v>3564</v>
      </c>
      <c r="I1019" s="27">
        <f ca="1">E1018/A1016</f>
        <v>2.29908</v>
      </c>
      <c r="J1019" s="2" t="s">
        <v>3566</v>
      </c>
    </row>
    <row r="1020" spans="1:12" ht="16" thickBot="1" x14ac:dyDescent="0.4">
      <c r="B1020" s="88" t="s">
        <v>1611</v>
      </c>
      <c r="F1020" s="88" t="s">
        <v>1527</v>
      </c>
      <c r="J1020" s="88" t="s">
        <v>1529</v>
      </c>
    </row>
    <row r="1021" spans="1:12" ht="16.5" thickTop="1" thickBot="1" x14ac:dyDescent="0.4">
      <c r="B1021" s="76" t="str">
        <f ca="1">[1]!std_ans($C$1021)</f>
        <v>B</v>
      </c>
      <c r="C1021" s="79" t="str">
        <f ca="1" xml:space="preserve"> "/\" &amp;RANDBETWEEN( 1,120) &amp; "/\" &amp;RANDBETWEEN( 1,120) &amp; "/\" &amp;0.1 &amp; "/\" &amp; E1019</f>
        <v>/\30/\4/\0.1/\16.694402</v>
      </c>
      <c r="D1021" s="80" t="s">
        <v>3565</v>
      </c>
      <c r="F1021" s="76" t="str">
        <f ca="1">[1]!std_ans($G$1021)</f>
        <v>A</v>
      </c>
      <c r="G1021" s="79" t="str">
        <f ca="1" xml:space="preserve"> "/\" &amp;RANDBETWEEN( 1,120) &amp; "/\" &amp;RANDBETWEEN( 1,120) &amp; "/\" &amp;0.1 &amp; "/\" &amp; I1019</f>
        <v>/\21/\107/\0.1/\2.29908</v>
      </c>
      <c r="H1021" s="80" t="s">
        <v>1610</v>
      </c>
      <c r="J1021" s="76" t="str">
        <f ca="1">[1]!alpha_ans($K$1021)</f>
        <v>A</v>
      </c>
      <c r="K1021" s="79" t="str">
        <f ca="1" xml:space="preserve"> "/\" &amp;RANDBETWEEN( 1,5) &amp; "/\" &amp;RANDBETWEEN( 1,120) &amp; "/\" &amp;RANDBETWEEN( 1,6) &amp; "/\" &amp;RANDBETWEEN( 1,2) &amp; "/\" &amp; I1019 &amp; "/\" &amp; "Mask" &amp; "/\" &amp; "Mask" &amp; "/\" &amp; E1019 &amp; "/\" &amp; "Mask"</f>
        <v>/\1/\38/\1/\1/\2.29908/\Mask/\Mask/\16.694402/\Mask</v>
      </c>
      <c r="L1021" s="80" t="s">
        <v>1528</v>
      </c>
    </row>
    <row r="1022" spans="1:12" ht="16" thickTop="1" x14ac:dyDescent="0.35">
      <c r="B1022" s="96">
        <f ca="1">[1]!stdnum_A($C$1021)</f>
        <v>18.363842200000001</v>
      </c>
      <c r="C1022" s="82"/>
      <c r="D1022" s="77"/>
      <c r="F1022" s="96">
        <f ca="1">[1]!stdnum_A($G$1021)</f>
        <v>2.29908</v>
      </c>
      <c r="G1022" s="82"/>
      <c r="H1022" s="77"/>
      <c r="J1022" s="96">
        <f ca="1">[1]!onepair_A($K$1021)</f>
        <v>2.29908</v>
      </c>
      <c r="K1022" s="187">
        <f ca="1">[1]!onepair_A2($K$1021)</f>
        <v>16.694402</v>
      </c>
      <c r="L1022" s="77"/>
    </row>
    <row r="1023" spans="1:12" x14ac:dyDescent="0.35">
      <c r="B1023" s="96">
        <f ca="1">[1]!stdnum_B($C$1021)</f>
        <v>16.694402</v>
      </c>
      <c r="C1023" s="82"/>
      <c r="D1023" s="77"/>
      <c r="F1023" s="96">
        <f ca="1">[1]!stdnum_B($G$1021)</f>
        <v>1.9000661157024792</v>
      </c>
      <c r="G1023" s="82"/>
      <c r="H1023" s="77"/>
      <c r="J1023" s="96">
        <f ca="1">[1]!onepair_B($K$1021)</f>
        <v>3.0405332999999999</v>
      </c>
      <c r="K1023" s="187">
        <f ca="1">[1]!onepair_B2($K$1021)</f>
        <v>16.694402</v>
      </c>
      <c r="L1023" s="77"/>
    </row>
    <row r="1024" spans="1:12" x14ac:dyDescent="0.35">
      <c r="B1024" s="96">
        <f ca="1">[1]!stdnum_C($C$1021)</f>
        <v>20.200226420000003</v>
      </c>
      <c r="C1024" s="82"/>
      <c r="D1024" s="77"/>
      <c r="F1024" s="96">
        <f ca="1">[1]!stdnum_C($G$1021)</f>
        <v>2.0900727272727271</v>
      </c>
      <c r="G1024" s="82"/>
      <c r="H1024" s="77"/>
      <c r="J1024" s="96">
        <f ca="1">[1]!onepair_C($K$1021)</f>
        <v>2.29908</v>
      </c>
      <c r="K1024" s="187">
        <f ca="1">[1]!onepair_C2($K$1021)</f>
        <v>14.5168713043478</v>
      </c>
      <c r="L1024" s="77"/>
    </row>
    <row r="1025" spans="1:12" x14ac:dyDescent="0.35">
      <c r="B1025" s="96">
        <f ca="1">[1]!stdnum_D($C$1021)</f>
        <v>24.442273968200006</v>
      </c>
      <c r="C1025" s="82"/>
      <c r="D1025" s="77"/>
      <c r="F1025" s="96">
        <f ca="1">[1]!stdnum_D($G$1021)</f>
        <v>1.7273328324567989</v>
      </c>
      <c r="G1025" s="82"/>
      <c r="H1025" s="77"/>
      <c r="J1025" s="96">
        <f ca="1">[1]!onepair_D($K$1021)</f>
        <v>3.0405332999999999</v>
      </c>
      <c r="K1025" s="187">
        <f ca="1">[1]!onepair_D2($K$1021)</f>
        <v>14.5168713043478</v>
      </c>
      <c r="L1025" s="77"/>
    </row>
    <row r="1026" spans="1:12" ht="16" thickBot="1" x14ac:dyDescent="0.4">
      <c r="B1026" s="97">
        <f ca="1">[1]!stdnum_E($C$1021)</f>
        <v>22.220249062000008</v>
      </c>
      <c r="C1026" s="84"/>
      <c r="D1026" s="78"/>
      <c r="F1026" s="97">
        <f ca="1">[1]!stdnum_E($G$1021)</f>
        <v>1.5703025749607264</v>
      </c>
      <c r="G1026" s="84"/>
      <c r="H1026" s="78"/>
      <c r="J1026" s="97">
        <f ca="1">[1]!onepair_E($K$1021)</f>
        <v>2.643942</v>
      </c>
      <c r="K1026" s="334">
        <f ca="1">[1]!onepair_E2($K$1021)</f>
        <v>14.5168713043478</v>
      </c>
      <c r="L1026" s="78"/>
    </row>
    <row r="1027" spans="1:12" ht="16" thickTop="1" x14ac:dyDescent="0.35"/>
    <row r="1029" spans="1:12" x14ac:dyDescent="0.35">
      <c r="A1029" s="120" t="s">
        <v>3061</v>
      </c>
    </row>
    <row r="1030" spans="1:12" x14ac:dyDescent="0.35">
      <c r="A1030" s="8">
        <f ca="1">RANDBETWEEN(4,15)*5</f>
        <v>20</v>
      </c>
      <c r="B1030" s="2" t="s">
        <v>3062</v>
      </c>
      <c r="E1030" s="14">
        <f ca="1">IF(ABS((A1031+A1032)/A1030-1)&lt;0.05,"#RECALCULATE",(A1031+A1032)/A1030-1)</f>
        <v>-0.45999999999999996</v>
      </c>
      <c r="F1030" s="2" t="s">
        <v>870</v>
      </c>
    </row>
    <row r="1031" spans="1:12" x14ac:dyDescent="0.35">
      <c r="A1031" s="8">
        <f ca="1">A1030+(IF(RANDBETWEEN(0,1)=0,1,-1))*(RANDBETWEEN(1,3))*5</f>
        <v>10</v>
      </c>
      <c r="B1031" s="2" t="s">
        <v>2468</v>
      </c>
    </row>
    <row r="1032" spans="1:12" x14ac:dyDescent="0.35">
      <c r="A1032" s="13">
        <f ca="1">ROUND(A1030*(1+RANDBETWEEN(16,25)/100)^(IF(RANDBETWEEN(0,1)=0,1,-1))*0.05,1)</f>
        <v>0.8</v>
      </c>
      <c r="B1032" s="2" t="s">
        <v>2818</v>
      </c>
    </row>
    <row r="1034" spans="1:12" ht="16" thickBot="1" x14ac:dyDescent="0.4"/>
    <row r="1035" spans="1:12" ht="16.5" thickTop="1" thickBot="1" x14ac:dyDescent="0.4">
      <c r="B1035" s="76" t="str">
        <f ca="1">[1]!std_ans($C$1035)</f>
        <v>E</v>
      </c>
      <c r="C1035" s="79" t="str">
        <f ca="1" xml:space="preserve"> "/\" &amp;RANDBETWEEN( 1,120) &amp; "/\" &amp;RANDBETWEEN( 1,120) &amp; "/\" &amp;0.1 &amp; "/\" &amp; E1030</f>
        <v>/\48/\46/\0.1/\-0.46</v>
      </c>
      <c r="D1035" s="80" t="s">
        <v>3063</v>
      </c>
    </row>
    <row r="1036" spans="1:12" ht="16" thickTop="1" x14ac:dyDescent="0.35">
      <c r="B1036" s="92">
        <f ca="1">[1]!stdnum_A($C$1035)</f>
        <v>-0.61226000000000025</v>
      </c>
      <c r="C1036" s="82"/>
      <c r="D1036" s="77"/>
    </row>
    <row r="1037" spans="1:12" x14ac:dyDescent="0.35">
      <c r="B1037" s="92">
        <f ca="1">[1]!stdnum_B($C$1035)</f>
        <v>-0.41818181818181821</v>
      </c>
      <c r="C1037" s="82"/>
      <c r="D1037" s="77"/>
    </row>
    <row r="1038" spans="1:12" x14ac:dyDescent="0.35">
      <c r="B1038" s="92">
        <f ca="1">[1]!stdnum_C($C$1035)</f>
        <v>-0.55660000000000009</v>
      </c>
      <c r="C1038" s="82"/>
      <c r="D1038" s="77"/>
    </row>
    <row r="1039" spans="1:12" x14ac:dyDescent="0.35">
      <c r="B1039" s="92">
        <f ca="1">[1]!stdnum_D($C$1035)</f>
        <v>-0.50600000000000012</v>
      </c>
      <c r="C1039" s="82"/>
      <c r="D1039" s="77"/>
    </row>
    <row r="1040" spans="1:12" ht="16" thickBot="1" x14ac:dyDescent="0.4">
      <c r="B1040" s="93">
        <f ca="1">[1]!stdnum_E($C$1035)</f>
        <v>-0.46</v>
      </c>
      <c r="C1040" s="84"/>
      <c r="D1040" s="78"/>
    </row>
    <row r="1041" spans="1:8" ht="16" thickTop="1" x14ac:dyDescent="0.35"/>
    <row r="1043" spans="1:8" x14ac:dyDescent="0.35">
      <c r="A1043" s="88" t="s">
        <v>3659</v>
      </c>
    </row>
    <row r="1044" spans="1:8" x14ac:dyDescent="0.35">
      <c r="A1044" s="8">
        <f ca="1">RANDBETWEEN(25,50)*100</f>
        <v>2600</v>
      </c>
      <c r="B1044" s="28" t="s">
        <v>817</v>
      </c>
      <c r="E1044" s="8">
        <f ca="1">A1044*A1047</f>
        <v>3432</v>
      </c>
      <c r="F1044" s="28" t="s">
        <v>1757</v>
      </c>
    </row>
    <row r="1045" spans="1:8" x14ac:dyDescent="0.35">
      <c r="A1045" s="8">
        <f ca="1">RANDBETWEEN(25,50)*100</f>
        <v>3700</v>
      </c>
      <c r="B1045" s="2" t="s">
        <v>2624</v>
      </c>
      <c r="E1045" s="8">
        <f ca="1">A1049*A1048</f>
        <v>1786.05</v>
      </c>
      <c r="F1045" s="2" t="s">
        <v>1754</v>
      </c>
    </row>
    <row r="1046" spans="1:8" x14ac:dyDescent="0.35">
      <c r="A1046" s="10">
        <f ca="1">A1044+A1045</f>
        <v>6300</v>
      </c>
      <c r="B1046" s="2" t="s">
        <v>2625</v>
      </c>
      <c r="E1046" s="8">
        <f ca="1">E1045*A1050</f>
        <v>535.81500000000005</v>
      </c>
      <c r="F1046" s="28" t="s">
        <v>1755</v>
      </c>
    </row>
    <row r="1047" spans="1:8" x14ac:dyDescent="0.35">
      <c r="A1047" s="30">
        <f ca="1">IF(RANDBETWEEN(0,1)=0,RANDBETWEEN(60,80)/100,RANDBETWEEN(120,140)/100)</f>
        <v>1.32</v>
      </c>
      <c r="B1047" s="28" t="s">
        <v>1752</v>
      </c>
      <c r="E1047" s="8">
        <f ca="1">E1045-E1046</f>
        <v>1250.2349999999999</v>
      </c>
      <c r="F1047" s="2" t="s">
        <v>1756</v>
      </c>
    </row>
    <row r="1048" spans="1:8" x14ac:dyDescent="0.35">
      <c r="A1048" s="8">
        <f ca="1">A1046*D1048</f>
        <v>17010</v>
      </c>
      <c r="B1048" s="28" t="s">
        <v>1750</v>
      </c>
      <c r="D1048" s="333">
        <f ca="1">RANDBETWEEN(14,45)/10</f>
        <v>2.7</v>
      </c>
      <c r="E1048" s="10">
        <f ca="1">E1049*A1053</f>
        <v>6044.86895</v>
      </c>
      <c r="F1048" s="28" t="s">
        <v>1446</v>
      </c>
    </row>
    <row r="1049" spans="1:8" x14ac:dyDescent="0.35">
      <c r="A1049" s="14">
        <f ca="1">RANDBETWEEN(50,110)/1000</f>
        <v>0.105</v>
      </c>
      <c r="B1049" s="28" t="s">
        <v>88</v>
      </c>
      <c r="E1049" s="8">
        <f ca="1">A1044+E1047</f>
        <v>3850.2349999999997</v>
      </c>
      <c r="F1049" s="28" t="s">
        <v>3029</v>
      </c>
    </row>
    <row r="1050" spans="1:8" x14ac:dyDescent="0.35">
      <c r="A1050" s="12">
        <f ca="1">0.05*RANDBETWEEN(6,12)</f>
        <v>0.30000000000000004</v>
      </c>
      <c r="B1050" s="28" t="s">
        <v>3243</v>
      </c>
      <c r="E1050" s="14">
        <f ca="1">E1045/A1044</f>
        <v>0.68694230769230769</v>
      </c>
      <c r="F1050" s="2" t="s">
        <v>3030</v>
      </c>
    </row>
    <row r="1051" spans="1:8" x14ac:dyDescent="0.35">
      <c r="A1051" s="358">
        <f ca="1">A1046-A1052</f>
        <v>3780</v>
      </c>
      <c r="B1051" s="103" t="s">
        <v>3031</v>
      </c>
      <c r="E1051" s="14">
        <f ca="1">IF(ABS((E1048+E1046)/E1044-1)&lt;0.1,"#RECALCULATE",(E1048+E1046)/E1044-1)</f>
        <v>0.91744870337995343</v>
      </c>
      <c r="F1051" s="2" t="s">
        <v>870</v>
      </c>
    </row>
    <row r="1052" spans="1:8" x14ac:dyDescent="0.35">
      <c r="A1052" s="358">
        <f ca="1">A1046*RANDBETWEEN(8,12)*5/100</f>
        <v>2520</v>
      </c>
      <c r="B1052" s="103" t="s">
        <v>3032</v>
      </c>
      <c r="C1052" s="103"/>
      <c r="E1052" s="8">
        <f ca="1">A1048*(1-A1049)</f>
        <v>15223.95</v>
      </c>
      <c r="F1052" s="103" t="s">
        <v>3033</v>
      </c>
    </row>
    <row r="1053" spans="1:8" x14ac:dyDescent="0.35">
      <c r="A1053" s="2">
        <f ca="1">ROUND((1+RANDBETWEEN(16,25)/100)^(IF(RANDBETWEEN(0,1)=0,1,-1))*A1047,2)</f>
        <v>1.57</v>
      </c>
      <c r="B1053" s="28" t="s">
        <v>3660</v>
      </c>
    </row>
    <row r="1055" spans="1:8" ht="16" thickBot="1" x14ac:dyDescent="0.4">
      <c r="B1055" s="88" t="s">
        <v>3662</v>
      </c>
      <c r="F1055" s="88" t="s">
        <v>3664</v>
      </c>
    </row>
    <row r="1056" spans="1:8" ht="16.5" thickTop="1" thickBot="1" x14ac:dyDescent="0.4">
      <c r="B1056" s="76" t="str">
        <f ca="1">[1]!alpha_ans($C$1056)</f>
        <v>D</v>
      </c>
      <c r="C1056" s="79" t="str">
        <f ca="1" xml:space="preserve"> "/\" &amp;RANDBETWEEN( 1,5) &amp; "/\" &amp;RANDBETWEEN( 1,120) &amp; "/\" &amp;RANDBETWEEN( 1,6) &amp; "/\" &amp;RANDBETWEEN( 1,2) &amp; "/\" &amp; E1051 &amp; "/\" &amp; "Mask" &amp; "/\" &amp; "Mask" &amp; "/\" &amp; E1050 &amp; "/\" &amp; "Mask"</f>
        <v>/\4/\82/\5/\1/\0.917448703379953/\Mask/\Mask/\0.686942307692308/\Mask</v>
      </c>
      <c r="D1056" s="80" t="s">
        <v>3661</v>
      </c>
      <c r="F1056" s="76" t="str">
        <f ca="1">[1]!std_ans($G$1056)</f>
        <v>A</v>
      </c>
      <c r="G1056" s="79" t="str">
        <f ca="1" xml:space="preserve"> "/\" &amp;RANDBETWEEN( 1,120) &amp; "/\" &amp;RANDBETWEEN( 1,120) &amp; "/\" &amp;0.1 &amp; "/\" &amp; E1051</f>
        <v>/\2/\84/\0.1/\0.917448703379953</v>
      </c>
      <c r="H1056" s="80" t="s">
        <v>3663</v>
      </c>
    </row>
    <row r="1057" spans="2:8" ht="16" thickTop="1" x14ac:dyDescent="0.35">
      <c r="B1057" s="92">
        <f ca="1">IF(VALUE([1]!onepair_A($C$1056))=0,"#RECALCULATE",[1]!onepair_A($C$1056))</f>
        <v>0.79778148119995895</v>
      </c>
      <c r="C1057" s="242">
        <f ca="1">[1]!onepair_A2($C$1056)</f>
        <v>0.68694230769230802</v>
      </c>
      <c r="D1057" s="77"/>
      <c r="F1057" s="92">
        <f ca="1">[1]!stdnum_A($G$1056)</f>
        <v>0.91744870337995299</v>
      </c>
      <c r="G1057" s="82"/>
      <c r="H1057" s="77"/>
    </row>
    <row r="1058" spans="2:8" x14ac:dyDescent="0.35">
      <c r="B1058" s="92">
        <f ca="1">IF(VALUE([1]!onepair_B($C$1056))=0,"#RECALCULATE",[1]!onepair_B($C$1056))</f>
        <v>0.69372302713039902</v>
      </c>
      <c r="C1058" s="242">
        <f ca="1">[1]!onepair_B2($C$1056)</f>
        <v>0.68694230769230802</v>
      </c>
      <c r="D1058" s="77"/>
      <c r="F1058" s="92">
        <f ca="1">[1]!stdnum_B($G$1056)</f>
        <v>0.75822206890905197</v>
      </c>
      <c r="G1058" s="82"/>
      <c r="H1058" s="77"/>
    </row>
    <row r="1059" spans="2:8" x14ac:dyDescent="0.35">
      <c r="B1059" s="92">
        <f ca="1">IF(VALUE([1]!onepair_C($C$1056))=0,"#RECALCULATE",[1]!onepair_C($C$1056))</f>
        <v>0.69372302713039902</v>
      </c>
      <c r="C1059" s="242">
        <f ca="1">[1]!onepair_C2($C$1056)</f>
        <v>0.59734113712374604</v>
      </c>
      <c r="D1059" s="77"/>
      <c r="F1059" s="92">
        <f ca="1">[1]!stdnum_C($G$1056)</f>
        <v>1.0091935737179483</v>
      </c>
      <c r="G1059" s="82"/>
      <c r="H1059" s="77"/>
    </row>
    <row r="1060" spans="2:8" x14ac:dyDescent="0.35">
      <c r="B1060" s="92">
        <f ca="1">IF(VALUE([1]!onepair_D($C$1056))=0,"#RECALCULATE",[1]!onepair_D($C$1056))</f>
        <v>0.91744870337995299</v>
      </c>
      <c r="C1060" s="242">
        <f ca="1">[1]!onepair_D2($C$1056)</f>
        <v>0.68694230769230802</v>
      </c>
      <c r="D1060" s="77"/>
      <c r="F1060" s="92">
        <f ca="1">[1]!stdnum_D($G$1056)</f>
        <v>0.6892927899173199</v>
      </c>
      <c r="G1060" s="82"/>
      <c r="H1060" s="77"/>
    </row>
    <row r="1061" spans="2:8" ht="16" thickBot="1" x14ac:dyDescent="0.4">
      <c r="B1061" s="92">
        <f ca="1">IF(VALUE([1]!onepair_E($C$1056))=0,"#RECALCULATE",[1]!onepair_E($C$1056))</f>
        <v>0.91744870337995299</v>
      </c>
      <c r="C1061" s="299">
        <f ca="1">[1]!onepair_E2($C$1056)</f>
        <v>0.59734113712374604</v>
      </c>
      <c r="D1061" s="78"/>
      <c r="F1061" s="93">
        <f ca="1">[1]!stdnum_E($G$1056)</f>
        <v>0.83404427579995721</v>
      </c>
      <c r="G1061" s="84"/>
      <c r="H1061" s="78"/>
    </row>
    <row r="1062" spans="2:8" ht="16" thickTop="1" x14ac:dyDescent="0.35"/>
  </sheetData>
  <mergeCells count="13">
    <mergeCell ref="A951:C951"/>
    <mergeCell ref="A927:C927"/>
    <mergeCell ref="A149:C149"/>
    <mergeCell ref="E157:F157"/>
    <mergeCell ref="A246:C246"/>
    <mergeCell ref="A560:C560"/>
    <mergeCell ref="A656:C656"/>
    <mergeCell ref="E656:G656"/>
    <mergeCell ref="I656:J656"/>
    <mergeCell ref="I246:N246"/>
    <mergeCell ref="A498:C498"/>
    <mergeCell ref="A518:C518"/>
    <mergeCell ref="B385:D385"/>
  </mergeCells>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0:S983"/>
  <sheetViews>
    <sheetView workbookViewId="0"/>
  </sheetViews>
  <sheetFormatPr defaultColWidth="10.58203125" defaultRowHeight="15.5" x14ac:dyDescent="0.35"/>
  <cols>
    <col min="1" max="6" width="10.58203125" style="2" customWidth="1"/>
    <col min="7" max="7" width="10.25" style="2" customWidth="1"/>
    <col min="8" max="16384" width="10.58203125" style="2"/>
  </cols>
  <sheetData>
    <row r="10" spans="1:9" x14ac:dyDescent="0.35">
      <c r="A10" s="88"/>
    </row>
    <row r="12" spans="1:9" x14ac:dyDescent="0.35">
      <c r="A12" s="120" t="s">
        <v>2063</v>
      </c>
      <c r="H12" s="4">
        <f ca="1">RANDBETWEEN(1,3)</f>
        <v>3</v>
      </c>
    </row>
    <row r="13" spans="1:9" x14ac:dyDescent="0.35">
      <c r="A13" s="20">
        <f ca="1">RANDBETWEEN(10,30)*100</f>
        <v>1300</v>
      </c>
      <c r="B13" s="2" t="s">
        <v>596</v>
      </c>
      <c r="D13" s="10">
        <f ca="1">A16-A13</f>
        <v>5376.6056956177108</v>
      </c>
      <c r="E13" s="2" t="s">
        <v>1445</v>
      </c>
      <c r="H13" s="4" t="str">
        <f ca="1">CHOOSE(H12,"months","quarters","semiannum")</f>
        <v>semiannum</v>
      </c>
      <c r="I13" s="2" t="s">
        <v>2888</v>
      </c>
    </row>
    <row r="14" spans="1:9" x14ac:dyDescent="0.35">
      <c r="A14" s="4">
        <f ca="1">RANDBETWEEN(10,20)</f>
        <v>18</v>
      </c>
      <c r="B14" s="2" t="s">
        <v>2105</v>
      </c>
      <c r="D14" s="10">
        <f ca="1">A15*A13*A14</f>
        <v>2176.2000000000003</v>
      </c>
      <c r="E14" s="2" t="s">
        <v>733</v>
      </c>
      <c r="H14" s="4" t="str">
        <f ca="1">CHOOSE(H12,"monthly","quarterly","semiannually")</f>
        <v>semiannually</v>
      </c>
      <c r="I14" s="2" t="s">
        <v>2889</v>
      </c>
    </row>
    <row r="15" spans="1:9" x14ac:dyDescent="0.35">
      <c r="A15" s="7">
        <f ca="1">RANDBETWEEN(70,120)/1000</f>
        <v>9.2999999999999999E-2</v>
      </c>
      <c r="B15" s="2" t="s">
        <v>985</v>
      </c>
      <c r="D15" s="10">
        <f ca="1">D13-D14</f>
        <v>3200.4056956177105</v>
      </c>
      <c r="E15" s="2" t="s">
        <v>192</v>
      </c>
      <c r="H15" s="4">
        <f ca="1">CHOOSE(H12,12,4,2)</f>
        <v>2</v>
      </c>
      <c r="I15" s="2" t="s">
        <v>2890</v>
      </c>
    </row>
    <row r="16" spans="1:9" x14ac:dyDescent="0.35">
      <c r="A16" s="20">
        <f ca="1">A13*(1+A15/H15)^(A14*H15)</f>
        <v>6676.6056956177108</v>
      </c>
      <c r="B16" s="2" t="s">
        <v>909</v>
      </c>
    </row>
    <row r="17" spans="1:5" ht="16" thickBot="1" x14ac:dyDescent="0.4"/>
    <row r="18" spans="1:5" ht="16.5" thickTop="1" thickBot="1" x14ac:dyDescent="0.4">
      <c r="B18" s="76" t="str">
        <f ca="1">[1]!std_ans($C$18)</f>
        <v>C</v>
      </c>
      <c r="C18" s="79" t="str">
        <f ca="1" xml:space="preserve"> "/\" &amp;RANDBETWEEN( 1,120) &amp; "/\" &amp;RANDBETWEEN( 1,120) &amp; "/\" &amp;0.1 &amp; "/\" &amp; D15</f>
        <v>/\86/\47/\0.1/\3200.40569561771</v>
      </c>
      <c r="D18" s="80" t="s">
        <v>2389</v>
      </c>
    </row>
    <row r="19" spans="1:5" ht="16" thickTop="1" x14ac:dyDescent="0.35">
      <c r="B19" s="89">
        <f ca="1">[1]!stdnum_A($C$18)</f>
        <v>2909.4597232888273</v>
      </c>
      <c r="C19" s="82"/>
      <c r="D19" s="77"/>
    </row>
    <row r="20" spans="1:5" x14ac:dyDescent="0.35">
      <c r="B20" s="89">
        <f ca="1">[1]!stdnum_B($C$18)</f>
        <v>3872.49089169743</v>
      </c>
      <c r="C20" s="82"/>
      <c r="D20" s="77"/>
    </row>
    <row r="21" spans="1:5" x14ac:dyDescent="0.35">
      <c r="B21" s="89">
        <f ca="1">[1]!stdnum_C($C$18)</f>
        <v>3200.4056956177101</v>
      </c>
      <c r="C21" s="82"/>
      <c r="D21" s="77"/>
    </row>
    <row r="22" spans="1:5" x14ac:dyDescent="0.35">
      <c r="B22" s="89">
        <f ca="1">[1]!stdnum_D($C$18)</f>
        <v>3520.4462651794815</v>
      </c>
      <c r="C22" s="82"/>
      <c r="D22" s="77"/>
    </row>
    <row r="23" spans="1:5" ht="16" thickBot="1" x14ac:dyDescent="0.4">
      <c r="B23" s="90">
        <f ca="1">[1]!stdnum_E($C$18)</f>
        <v>4259.7399808671735</v>
      </c>
      <c r="C23" s="84"/>
      <c r="D23" s="78"/>
    </row>
    <row r="24" spans="1:5" ht="16" thickTop="1" x14ac:dyDescent="0.35"/>
    <row r="26" spans="1:5" x14ac:dyDescent="0.35">
      <c r="A26" s="88" t="s">
        <v>34</v>
      </c>
    </row>
    <row r="27" spans="1:5" x14ac:dyDescent="0.35">
      <c r="A27" s="20">
        <f ca="1">RANDBETWEEN(10,30)*100</f>
        <v>1500</v>
      </c>
      <c r="B27" s="2" t="s">
        <v>3258</v>
      </c>
      <c r="D27" s="2" t="s">
        <v>2924</v>
      </c>
      <c r="E27" s="2" t="str">
        <f ca="1">"the deposit equals the nominal cost of $" &amp; ROUND(A30,0) &amp; " discounted at the nominal rate " &amp; 100*A29 &amp; "%"</f>
        <v>the deposit equals the nominal cost of $1759 discounted at the nominal rate 7.1%</v>
      </c>
    </row>
    <row r="28" spans="1:5" x14ac:dyDescent="0.35">
      <c r="A28" s="4">
        <f ca="1">RANDBETWEEN(5,10)</f>
        <v>7</v>
      </c>
      <c r="B28" s="2" t="s">
        <v>2105</v>
      </c>
      <c r="D28" s="2" t="s">
        <v>2925</v>
      </c>
      <c r="E28" s="2" t="str">
        <f ca="1">"the deposit equals the real cost of $" &amp; ROUND(A27,0) &amp; " discounted at the nominal rate " &amp; 100*A29 &amp; "%"</f>
        <v>the deposit equals the real cost of $1500 discounted at the nominal rate 7.1%</v>
      </c>
    </row>
    <row r="29" spans="1:5" x14ac:dyDescent="0.35">
      <c r="A29" s="7">
        <f ca="1">RANDBETWEEN(70,120)/1000</f>
        <v>7.0999999999999994E-2</v>
      </c>
      <c r="B29" s="2" t="s">
        <v>2920</v>
      </c>
      <c r="D29" s="2" t="s">
        <v>2926</v>
      </c>
      <c r="E29" s="2" t="str">
        <f ca="1">"the deposit equals the real cost of $" &amp; ROUND(A27,0) &amp; " discounted at the real rate " &amp; ROUND(100*A32,2) &amp; "%"</f>
        <v>the deposit equals the real cost of $1500 discounted at the real rate 4.69%</v>
      </c>
    </row>
    <row r="30" spans="1:5" x14ac:dyDescent="0.35">
      <c r="A30" s="20">
        <f ca="1">A27*(1+A31)^(A28)</f>
        <v>1758.8171634567873</v>
      </c>
      <c r="B30" s="2" t="s">
        <v>2921</v>
      </c>
      <c r="D30" s="2" t="s">
        <v>2927</v>
      </c>
      <c r="E30" s="2" t="str">
        <f ca="1">"the deposit equals the nominal cost of $" &amp; ROUND(A30,0) &amp; " discounted at the real rate " &amp; ROUND(100*A32,2) &amp; "%"</f>
        <v>the deposit equals the nominal cost of $1759 discounted at the real rate 4.69%</v>
      </c>
    </row>
    <row r="31" spans="1:5" x14ac:dyDescent="0.35">
      <c r="A31" s="7">
        <f ca="1">RANDBETWEEN(15,50)/1000</f>
        <v>2.3E-2</v>
      </c>
      <c r="B31" s="2" t="s">
        <v>2922</v>
      </c>
      <c r="D31" s="2" t="s">
        <v>2928</v>
      </c>
      <c r="E31" s="2" t="str">
        <f ca="1">"the real interest rate is " &amp; ROUND(100*A32,2) &amp; "%"</f>
        <v>the real interest rate is 4.69%</v>
      </c>
    </row>
    <row r="32" spans="1:5" x14ac:dyDescent="0.35">
      <c r="A32" s="29">
        <f ca="1">(1+A29)/(1+A31)-1</f>
        <v>4.692082111436946E-2</v>
      </c>
      <c r="B32" s="2" t="s">
        <v>2923</v>
      </c>
      <c r="D32" s="2" t="s">
        <v>3467</v>
      </c>
      <c r="E32" s="2" t="str">
        <f ca="1">"the real interest rate is " &amp; ROUND(100*A29,2) &amp; "%"</f>
        <v>the real interest rate is 7.1%</v>
      </c>
    </row>
    <row r="34" spans="1:5" ht="16" thickBot="1" x14ac:dyDescent="0.4"/>
    <row r="35" spans="1:5" ht="16.5" thickTop="1" thickBot="1" x14ac:dyDescent="0.4">
      <c r="B35" s="76" t="str">
        <f ca="1">[1]!alpha_ans($C$35)</f>
        <v>E</v>
      </c>
      <c r="C35" s="79" t="str">
        <f ca="1" xml:space="preserve"> "/\" &amp;RANDBETWEEN( 1,5) &amp; "/\" &amp;RANDBETWEEN( 1,3) &amp; "/\" &amp;RANDBETWEEN( 1,2) &amp; "/\" &amp;E27 &amp; "/\" &amp; E28 &amp; "/\" &amp; E29 &amp; "/\" &amp; E30 &amp; "/\" &amp; E31 &amp; "/\" &amp; E32</f>
        <v>/\5/\1/\1/\the deposit equals the nominal cost of $1759 discounted at the nominal rate 7.1%/\the deposit equals the real cost of $1500 discounted at the nominal rate 7.1%/\the deposit equals the real cost of $1500 discounted at the real rate 4.69%/\the deposit equals the nominal cost of $1759 discounted at the real rate 4.69%/\the real interest rate is 4.69%/\the real interest rate is 7.1%</v>
      </c>
      <c r="D35" s="80" t="s">
        <v>1281</v>
      </c>
    </row>
    <row r="36" spans="1:5" ht="16" thickTop="1" x14ac:dyDescent="0.35">
      <c r="B36" s="81" t="str">
        <f ca="1">[1]!complexV_A($C$35)</f>
        <v>the deposit equals the nominal cost of $1759 discounted at the nominal rate 7.1%</v>
      </c>
      <c r="C36" s="82"/>
      <c r="D36" s="77"/>
    </row>
    <row r="37" spans="1:5" x14ac:dyDescent="0.35">
      <c r="B37" s="81" t="str">
        <f ca="1">[1]!complexV_B($C$35)</f>
        <v>the deposit equals the real cost of $1500 discounted at the real rate 4.69%</v>
      </c>
      <c r="C37" s="82"/>
      <c r="D37" s="77"/>
    </row>
    <row r="38" spans="1:5" x14ac:dyDescent="0.35">
      <c r="B38" s="81" t="str">
        <f ca="1">[1]!complexV_C($C$35)</f>
        <v>the real interest rate is 4.69%</v>
      </c>
      <c r="C38" s="82"/>
      <c r="D38" s="77"/>
    </row>
    <row r="39" spans="1:5" x14ac:dyDescent="0.35">
      <c r="B39" s="81" t="str">
        <f ca="1">[1]!complexV_D($C$35)</f>
        <v>Two choices, A and B, are correct</v>
      </c>
      <c r="C39" s="82"/>
      <c r="D39" s="77"/>
    </row>
    <row r="40" spans="1:5" ht="16" thickBot="1" x14ac:dyDescent="0.4">
      <c r="B40" s="83" t="str">
        <f ca="1">[1]!complexV_E($C$35)</f>
        <v>The three A-B-C choices are all correct</v>
      </c>
      <c r="C40" s="84"/>
      <c r="D40" s="78"/>
    </row>
    <row r="41" spans="1:5" ht="16" thickTop="1" x14ac:dyDescent="0.35"/>
    <row r="43" spans="1:5" x14ac:dyDescent="0.35">
      <c r="A43" s="88" t="s">
        <v>1080</v>
      </c>
    </row>
    <row r="44" spans="1:5" x14ac:dyDescent="0.35">
      <c r="A44" s="8">
        <f ca="1">RANDBETWEEN(30,50)</f>
        <v>37</v>
      </c>
      <c r="B44" s="2" t="s">
        <v>1727</v>
      </c>
      <c r="D44" s="29">
        <f ca="1">A45/A44-1</f>
        <v>-0.35135135135135132</v>
      </c>
      <c r="E44" s="2" t="s">
        <v>2080</v>
      </c>
    </row>
    <row r="45" spans="1:5" x14ac:dyDescent="0.35">
      <c r="A45" s="8">
        <f ca="1">RANDBETWEEN(10,30)</f>
        <v>24</v>
      </c>
      <c r="B45" s="2" t="s">
        <v>1465</v>
      </c>
      <c r="D45" s="29">
        <f ca="1">A46/A45-1</f>
        <v>1.4166666666666665</v>
      </c>
      <c r="E45" s="2" t="s">
        <v>2081</v>
      </c>
    </row>
    <row r="46" spans="1:5" x14ac:dyDescent="0.35">
      <c r="A46" s="8">
        <f ca="1">RANDBETWEEN(40,60)</f>
        <v>58</v>
      </c>
      <c r="B46" s="2" t="s">
        <v>2079</v>
      </c>
      <c r="D46" s="29">
        <f ca="1">A47/A46-1</f>
        <v>-0.24137931034482762</v>
      </c>
      <c r="E46" s="2" t="s">
        <v>981</v>
      </c>
    </row>
    <row r="47" spans="1:5" x14ac:dyDescent="0.35">
      <c r="A47" s="8">
        <f ca="1">ROUND(A44*CHOOSE(RANDBETWEEN(1,3),(1+RANDBETWEEN(3,7)/100)^(IF(RANDBETWEEN(0,1)=0,1,-1)),(1+RANDBETWEEN(8,13)/100)^(IF(RANDBETWEEN(0,1)=0,1,-1)),(1+RANDBETWEEN(16,25)/100)^(IF(RANDBETWEEN(0,1)=0,1,-1))),0)</f>
        <v>44</v>
      </c>
      <c r="B47" s="2" t="s">
        <v>980</v>
      </c>
      <c r="D47" s="29">
        <f ca="1">(D44+D45+D46)/3</f>
        <v>0.27464533499016253</v>
      </c>
      <c r="E47" s="2" t="s">
        <v>1116</v>
      </c>
    </row>
    <row r="48" spans="1:5" x14ac:dyDescent="0.35">
      <c r="D48" s="29">
        <f ca="1">(A47/A44)^(1/3)-1</f>
        <v>5.9457770971115043E-2</v>
      </c>
      <c r="E48" s="2" t="s">
        <v>1332</v>
      </c>
    </row>
    <row r="49" spans="1:7" ht="16" thickBot="1" x14ac:dyDescent="0.4"/>
    <row r="50" spans="1:7" ht="16.5" thickTop="1" thickBot="1" x14ac:dyDescent="0.4">
      <c r="B50" s="76" t="str">
        <f ca="1">[1]!alpha_ans($C$50)</f>
        <v>A</v>
      </c>
      <c r="C50" s="79" t="str">
        <f ca="1" xml:space="preserve"> "/\" &amp;RANDBETWEEN( 1,5) &amp; "/\" &amp;RANDBETWEEN( 1,120) &amp; "/\" &amp;RANDBETWEEN( 1,6) &amp; "/\" &amp;RANDBETWEEN( 1,2) &amp; "/\" &amp; D48 &amp; "/\" &amp; "Mask" &amp; "/\" &amp; "Mask" &amp; "/\" &amp; D47 &amp; "/\" &amp; "Mask"</f>
        <v>/\1/\46/\1/\1/\0.059457770971115/\Mask/\Mask/\0.274645334990163/\Mask</v>
      </c>
      <c r="D50" s="80" t="s">
        <v>1081</v>
      </c>
    </row>
    <row r="51" spans="1:7" ht="16" thickTop="1" x14ac:dyDescent="0.35">
      <c r="B51" s="92">
        <f ca="1">[1]!onepair_A($C$50)</f>
        <v>5.9457770971115001E-2</v>
      </c>
      <c r="C51" s="242">
        <f ca="1">[1]!onepair_A2($C$50)</f>
        <v>0.27464533499016303</v>
      </c>
      <c r="D51" s="77"/>
    </row>
    <row r="52" spans="1:7" x14ac:dyDescent="0.35">
      <c r="B52" s="92">
        <f ca="1">[1]!onepair_B($C$50)</f>
        <v>7.8632902109299602E-2</v>
      </c>
      <c r="C52" s="242">
        <f ca="1">[1]!onepair_B2($C$50)</f>
        <v>0.23882203042622899</v>
      </c>
      <c r="D52" s="77"/>
    </row>
    <row r="53" spans="1:7" x14ac:dyDescent="0.35">
      <c r="B53" s="92">
        <f ca="1">[1]!onepair_C($C$50)</f>
        <v>6.8376436616782194E-2</v>
      </c>
      <c r="C53" s="242">
        <f ca="1">[1]!onepair_C2($C$50)</f>
        <v>0.23882203042622899</v>
      </c>
      <c r="D53" s="77"/>
    </row>
    <row r="54" spans="1:7" x14ac:dyDescent="0.35">
      <c r="B54" s="92">
        <f ca="1">[1]!onepair_D($C$50)</f>
        <v>7.8632902109299602E-2</v>
      </c>
      <c r="C54" s="242">
        <f ca="1">[1]!onepair_D2($C$50)</f>
        <v>0.27464533499016303</v>
      </c>
      <c r="D54" s="77"/>
    </row>
    <row r="55" spans="1:7" ht="16" thickBot="1" x14ac:dyDescent="0.4">
      <c r="B55" s="93">
        <f ca="1">[1]!onepair_E($C$50)</f>
        <v>5.9457770971115001E-2</v>
      </c>
      <c r="C55" s="299">
        <f ca="1">[1]!onepair_E2($C$50)</f>
        <v>0.23882203042622899</v>
      </c>
      <c r="D55" s="78"/>
    </row>
    <row r="56" spans="1:7" ht="16" thickTop="1" x14ac:dyDescent="0.35"/>
    <row r="58" spans="1:7" x14ac:dyDescent="0.35">
      <c r="A58" s="88" t="s">
        <v>889</v>
      </c>
    </row>
    <row r="59" spans="1:7" x14ac:dyDescent="0.35">
      <c r="A59" s="8">
        <f ca="1">RANDBETWEEN(30,50)</f>
        <v>42</v>
      </c>
      <c r="B59" s="2" t="s">
        <v>1727</v>
      </c>
    </row>
    <row r="60" spans="1:7" x14ac:dyDescent="0.35">
      <c r="A60" s="8">
        <f ca="1">RANDBETWEEN(10,19)</f>
        <v>10</v>
      </c>
      <c r="B60" s="2" t="s">
        <v>1465</v>
      </c>
      <c r="D60" s="29">
        <f ca="1">A60/A59-1</f>
        <v>-0.76190476190476186</v>
      </c>
      <c r="E60" s="2" t="s">
        <v>2080</v>
      </c>
    </row>
    <row r="61" spans="1:7" x14ac:dyDescent="0.35">
      <c r="A61" s="8">
        <f ca="1">IF(ABS(C61-A59)&gt;4,C61,C61+(IF(RANDBETWEEN(0,1)=0,1,-1))*RANDBETWEEN(5,15))</f>
        <v>47</v>
      </c>
      <c r="B61" s="2" t="s">
        <v>2079</v>
      </c>
      <c r="C61" s="231">
        <f ca="1">RANDBETWEEN(40,60)</f>
        <v>47</v>
      </c>
      <c r="D61" s="29">
        <f ca="1">A61/A60-1</f>
        <v>3.7</v>
      </c>
      <c r="E61" s="2" t="s">
        <v>2081</v>
      </c>
    </row>
    <row r="62" spans="1:7" x14ac:dyDescent="0.35">
      <c r="D62" s="29">
        <f ca="1">(D60+D61)/2</f>
        <v>1.4690476190476192</v>
      </c>
      <c r="E62" s="2" t="s">
        <v>1116</v>
      </c>
    </row>
    <row r="63" spans="1:7" x14ac:dyDescent="0.35">
      <c r="D63" s="29">
        <f ca="1">(A61/A59)^(1/2)-1</f>
        <v>5.7850471024907701E-2</v>
      </c>
      <c r="E63" s="2" t="s">
        <v>1332</v>
      </c>
      <c r="G63" s="29">
        <f ca="1">IF(ABS(D63)&gt;0.01,D63,"#RECALCULATE")</f>
        <v>5.7850471024907701E-2</v>
      </c>
    </row>
    <row r="65" spans="1:12" ht="16" thickBot="1" x14ac:dyDescent="0.4">
      <c r="B65" s="88" t="s">
        <v>258</v>
      </c>
      <c r="F65" s="120" t="s">
        <v>891</v>
      </c>
      <c r="J65" s="120" t="s">
        <v>893</v>
      </c>
    </row>
    <row r="66" spans="1:12" ht="16.5" thickTop="1" thickBot="1" x14ac:dyDescent="0.4">
      <c r="B66" s="76" t="str">
        <f ca="1">[1]!std_ans($C$66)</f>
        <v>B</v>
      </c>
      <c r="C66" s="79" t="str">
        <f ca="1" xml:space="preserve"> "/\" &amp;RANDBETWEEN( 1,120) &amp; "/\" &amp;RANDBETWEEN( 1,120) &amp; "/\" &amp;0.1 &amp; "/\" &amp; G63</f>
        <v>/\102/\54/\0.1/\0.0578504710249077</v>
      </c>
      <c r="D66" s="80" t="s">
        <v>890</v>
      </c>
      <c r="F66" s="76" t="str">
        <f ca="1">[1]!std_ans($G$66)</f>
        <v>D</v>
      </c>
      <c r="G66" s="79" t="str">
        <f ca="1" xml:space="preserve"> "/\" &amp;RANDBETWEEN( 1,120) &amp; "/\" &amp;RANDBETWEEN( 1,120) &amp; "/\" &amp;0.1 &amp; "/\" &amp; D62</f>
        <v>/\45/\83/\0.1/\1.46904761904762</v>
      </c>
      <c r="H66" s="80" t="s">
        <v>892</v>
      </c>
      <c r="J66" s="76" t="str">
        <f ca="1">[1]!alpha_ans($K$66)</f>
        <v>C</v>
      </c>
      <c r="K66" s="79" t="str">
        <f ca="1" xml:space="preserve"> "/\" &amp;RANDBETWEEN( 1,5) &amp; "/\" &amp;RANDBETWEEN( 1,120) &amp; "/\" &amp;RANDBETWEEN( 1,6) &amp; "/\" &amp;RANDBETWEEN( 1,2) &amp; "/\" &amp; G63 &amp; "/\" &amp; "Mask" &amp; "/\" &amp; "Mask" &amp; "/\" &amp; D62 &amp; "/\" &amp; "Mask"</f>
        <v>/\3/\57/\2/\1/\0.0578504710249077/\Mask/\Mask/\1.46904761904762/\Mask</v>
      </c>
      <c r="L66" s="80" t="s">
        <v>894</v>
      </c>
    </row>
    <row r="67" spans="1:12" ht="16" thickTop="1" x14ac:dyDescent="0.35">
      <c r="B67" s="92">
        <f ca="1">[1]!stdnum_A($C$66)</f>
        <v>5.2591337295370633E-2</v>
      </c>
      <c r="C67" s="82"/>
      <c r="D67" s="77"/>
      <c r="F67" s="92">
        <f ca="1">[1]!stdnum_A($G$66)</f>
        <v>1.2140889413616693</v>
      </c>
      <c r="G67" s="82"/>
      <c r="H67" s="77"/>
      <c r="J67" s="92">
        <f ca="1">[1]!onepair_A($K$66)</f>
        <v>7.6507247930440406E-2</v>
      </c>
      <c r="K67" s="242">
        <f ca="1">[1]!onepair_A2($K$66)</f>
        <v>1.27743271221532</v>
      </c>
      <c r="L67" s="77"/>
    </row>
    <row r="68" spans="1:12" x14ac:dyDescent="0.35">
      <c r="B68" s="92">
        <f ca="1">[1]!stdnum_B($C$66)</f>
        <v>5.7850471024907701E-2</v>
      </c>
      <c r="C68" s="82"/>
      <c r="D68" s="77"/>
      <c r="F68" s="92">
        <f ca="1">[1]!stdnum_B($G$66)</f>
        <v>1.3354978354978364</v>
      </c>
      <c r="G68" s="82"/>
      <c r="H68" s="77"/>
      <c r="J68" s="92">
        <f ca="1">[1]!onepair_B($K$66)</f>
        <v>7.6507247930440406E-2</v>
      </c>
      <c r="K68" s="242">
        <f ca="1">[1]!onepair_B2($K$66)</f>
        <v>1.46904761904762</v>
      </c>
      <c r="L68" s="77"/>
    </row>
    <row r="69" spans="1:12" x14ac:dyDescent="0.35">
      <c r="B69" s="92">
        <f ca="1">[1]!stdnum_C($C$66)</f>
        <v>6.3635518127398483E-2</v>
      </c>
      <c r="C69" s="82"/>
      <c r="D69" s="77"/>
      <c r="F69" s="92">
        <f ca="1">[1]!stdnum_C($G$66)</f>
        <v>1.6159523809523821</v>
      </c>
      <c r="G69" s="82"/>
      <c r="H69" s="77"/>
      <c r="J69" s="92">
        <f ca="1">[1]!onepair_C($K$66)</f>
        <v>5.7850471024907701E-2</v>
      </c>
      <c r="K69" s="242">
        <f ca="1">[1]!onepair_C2($K$66)</f>
        <v>1.46904761904762</v>
      </c>
      <c r="L69" s="77"/>
    </row>
    <row r="70" spans="1:12" x14ac:dyDescent="0.35">
      <c r="B70" s="92">
        <f ca="1">[1]!stdnum_D($C$66)</f>
        <v>6.9999069940138325E-2</v>
      </c>
      <c r="C70" s="82"/>
      <c r="D70" s="77"/>
      <c r="F70" s="92">
        <f ca="1">[1]!stdnum_D($G$66)</f>
        <v>1.46904761904762</v>
      </c>
      <c r="G70" s="82"/>
      <c r="H70" s="77"/>
      <c r="J70" s="92">
        <f ca="1">[1]!onepair_D($K$66)</f>
        <v>5.7850471024907701E-2</v>
      </c>
      <c r="K70" s="242">
        <f ca="1">[1]!onepair_D2($K$66)</f>
        <v>1.27743271221532</v>
      </c>
      <c r="L70" s="77"/>
    </row>
    <row r="71" spans="1:12" ht="16" thickBot="1" x14ac:dyDescent="0.4">
      <c r="B71" s="93">
        <f ca="1">[1]!stdnum_E($C$66)</f>
        <v>4.7810306632155117E-2</v>
      </c>
      <c r="C71" s="84"/>
      <c r="D71" s="78"/>
      <c r="F71" s="93">
        <f ca="1">[1]!stdnum_E($G$66)</f>
        <v>1.1037172194196991</v>
      </c>
      <c r="G71" s="84"/>
      <c r="H71" s="78"/>
      <c r="J71" s="93">
        <f ca="1">[1]!onepair_E($K$66)</f>
        <v>6.6528041678643804E-2</v>
      </c>
      <c r="K71" s="299">
        <f ca="1">[1]!onepair_E2($K$66)</f>
        <v>1.27743271221532</v>
      </c>
      <c r="L71" s="78"/>
    </row>
    <row r="72" spans="1:12" ht="16" thickTop="1" x14ac:dyDescent="0.35"/>
    <row r="74" spans="1:12" x14ac:dyDescent="0.35">
      <c r="A74" s="88" t="s">
        <v>3237</v>
      </c>
    </row>
    <row r="75" spans="1:12" x14ac:dyDescent="0.35">
      <c r="A75" s="264">
        <f ca="1">RANDBETWEEN(10,30)</f>
        <v>28</v>
      </c>
      <c r="B75" s="2" t="s">
        <v>596</v>
      </c>
      <c r="D75" s="264">
        <f ca="1">A75*(1+A77)^A76</f>
        <v>68.359375</v>
      </c>
      <c r="E75" s="2" t="s">
        <v>909</v>
      </c>
      <c r="G75" s="242">
        <f ca="1">IF(H77=0,A77,D76)</f>
        <v>1.44140625</v>
      </c>
      <c r="H75" s="133" t="str">
        <f ca="1">IF(H77=0,"geometric average annual","cumulative")</f>
        <v>cumulative</v>
      </c>
    </row>
    <row r="76" spans="1:12" x14ac:dyDescent="0.35">
      <c r="A76" s="265">
        <f ca="1">RANDBETWEEN(3,10)</f>
        <v>4</v>
      </c>
      <c r="B76" s="2" t="s">
        <v>597</v>
      </c>
      <c r="D76" s="14">
        <f ca="1">D75/A75-1</f>
        <v>1.44140625</v>
      </c>
      <c r="E76" s="2" t="s">
        <v>2523</v>
      </c>
      <c r="G76" s="242"/>
      <c r="H76" s="133" t="str">
        <f ca="1">IF(H77=1,"geometric average annual","cumulative")</f>
        <v>geometric average annual</v>
      </c>
    </row>
    <row r="77" spans="1:12" x14ac:dyDescent="0.35">
      <c r="A77" s="14">
        <f ca="1">RANDBETWEEN(70,250)/1000</f>
        <v>0.25</v>
      </c>
      <c r="B77" s="2" t="s">
        <v>985</v>
      </c>
      <c r="D77" s="232"/>
      <c r="H77" s="2">
        <f ca="1">(RANDBETWEEN(0,1))</f>
        <v>1</v>
      </c>
    </row>
    <row r="78" spans="1:12" ht="16" thickBot="1" x14ac:dyDescent="0.4"/>
    <row r="79" spans="1:12" ht="16.5" thickTop="1" thickBot="1" x14ac:dyDescent="0.4">
      <c r="B79" s="76" t="str">
        <f ca="1">[1]!alpha_ans($C$79)</f>
        <v>E</v>
      </c>
      <c r="C79" s="79" t="str">
        <f ca="1" xml:space="preserve"> "/\" &amp;RANDBETWEEN( 1,5) &amp; "/\" &amp;RANDBETWEEN( 1,120) &amp; "/\" &amp;RANDBETWEEN( 1,6) &amp; "/\" &amp;RANDBETWEEN( 1,2) &amp; "/\" &amp; G75 &amp; "/\" &amp; "Mask" &amp; "/\" &amp; "Mask" &amp; "/\" &amp; H75 &amp; "/\" &amp; H76</f>
        <v>/\5/\110/\5/\1/\1.44140625/\Mask/\Mask/\cumulative/\geometric average annual</v>
      </c>
      <c r="D79" s="80" t="s">
        <v>1949</v>
      </c>
    </row>
    <row r="80" spans="1:12" ht="16" thickTop="1" x14ac:dyDescent="0.35">
      <c r="B80" s="112">
        <f ca="1">[1]!onepair_A($C$79)</f>
        <v>1.2533967391304299</v>
      </c>
      <c r="C80" s="242" t="str">
        <f ca="1">[1]!onepair_A2($C$79)</f>
        <v>geometric average annual</v>
      </c>
      <c r="D80" s="77"/>
    </row>
    <row r="81" spans="1:5" x14ac:dyDescent="0.35">
      <c r="B81" s="112">
        <f ca="1">[1]!onepair_B($C$79)</f>
        <v>1.08991020793951</v>
      </c>
      <c r="C81" s="242" t="str">
        <f ca="1">[1]!onepair_B2($C$79)</f>
        <v>geometric average annual</v>
      </c>
      <c r="D81" s="77"/>
    </row>
    <row r="82" spans="1:5" x14ac:dyDescent="0.35">
      <c r="B82" s="112">
        <f ca="1">[1]!onepair_C($C$79)</f>
        <v>1.44140625</v>
      </c>
      <c r="C82" s="242" t="str">
        <f ca="1">[1]!onepair_C2($C$79)</f>
        <v>geometric average annual</v>
      </c>
      <c r="D82" s="77"/>
    </row>
    <row r="83" spans="1:5" x14ac:dyDescent="0.35">
      <c r="B83" s="112">
        <f ca="1">[1]!onepair_D($C$79)</f>
        <v>1.2533967391304299</v>
      </c>
      <c r="C83" s="242" t="str">
        <f ca="1">[1]!onepair_D2($C$79)</f>
        <v>cumulative</v>
      </c>
      <c r="D83" s="77"/>
    </row>
    <row r="84" spans="1:5" ht="16" thickBot="1" x14ac:dyDescent="0.4">
      <c r="B84" s="113">
        <f ca="1">[1]!onepair_E($C$79)</f>
        <v>1.44140625</v>
      </c>
      <c r="C84" s="299" t="str">
        <f ca="1">[1]!onepair_E2($C$79)</f>
        <v>cumulative</v>
      </c>
      <c r="D84" s="78"/>
    </row>
    <row r="85" spans="1:5" ht="16" thickTop="1" x14ac:dyDescent="0.35"/>
    <row r="87" spans="1:5" x14ac:dyDescent="0.35">
      <c r="A87" s="120" t="s">
        <v>1950</v>
      </c>
    </row>
    <row r="88" spans="1:5" x14ac:dyDescent="0.35">
      <c r="A88" s="8">
        <f ca="1">RANDBETWEEN(30,50)</f>
        <v>41</v>
      </c>
      <c r="B88" s="2" t="s">
        <v>1727</v>
      </c>
      <c r="D88" s="13">
        <f ca="1">A88*(1+A89)*(1+A90)</f>
        <v>78.1952</v>
      </c>
      <c r="E88" s="2" t="s">
        <v>2079</v>
      </c>
    </row>
    <row r="89" spans="1:5" x14ac:dyDescent="0.35">
      <c r="A89" s="32">
        <f ca="1">RANDBETWEEN(20,29)*(IF(RANDBETWEEN(0,1)=0,1,-1))/100</f>
        <v>0.28000000000000003</v>
      </c>
      <c r="B89" s="2" t="s">
        <v>2080</v>
      </c>
      <c r="D89" s="29"/>
    </row>
    <row r="90" spans="1:5" x14ac:dyDescent="0.35">
      <c r="A90" s="32">
        <f ca="1">RANDBETWEEN(40,60)*(IF(RANDBETWEEN(0,1)=0,1,-1))/100</f>
        <v>0.49</v>
      </c>
      <c r="B90" s="2" t="s">
        <v>2081</v>
      </c>
      <c r="D90" s="29"/>
    </row>
    <row r="91" spans="1:5" ht="16" thickBot="1" x14ac:dyDescent="0.4"/>
    <row r="92" spans="1:5" ht="16.5" thickTop="1" thickBot="1" x14ac:dyDescent="0.4">
      <c r="B92" s="76" t="str">
        <f ca="1">[1]!std_ans($C$92)</f>
        <v>D</v>
      </c>
      <c r="C92" s="79" t="str">
        <f ca="1" xml:space="preserve"> "/\" &amp;RANDBETWEEN( 1,120) &amp; "/\" &amp;RANDBETWEEN( 1,120) &amp; "/\" &amp;0.1 &amp; "/\" &amp; D88</f>
        <v>/\71/\115/\0.1/\78.1952</v>
      </c>
      <c r="D92" s="80" t="s">
        <v>1951</v>
      </c>
    </row>
    <row r="93" spans="1:5" ht="16" thickTop="1" x14ac:dyDescent="0.35">
      <c r="B93" s="129">
        <f ca="1">[1]!stdnum_A($C$92)</f>
        <v>53.408373744962759</v>
      </c>
      <c r="C93" s="82"/>
      <c r="D93" s="77"/>
    </row>
    <row r="94" spans="1:5" x14ac:dyDescent="0.35">
      <c r="B94" s="129">
        <f ca="1">[1]!stdnum_B($C$92)</f>
        <v>64.624132231404957</v>
      </c>
      <c r="C94" s="82"/>
      <c r="D94" s="77"/>
    </row>
    <row r="95" spans="1:5" x14ac:dyDescent="0.35">
      <c r="B95" s="129">
        <f ca="1">[1]!stdnum_C($C$92)</f>
        <v>58.749211119459034</v>
      </c>
      <c r="C95" s="82"/>
      <c r="D95" s="77"/>
    </row>
    <row r="96" spans="1:5" x14ac:dyDescent="0.35">
      <c r="B96" s="129">
        <f ca="1">[1]!stdnum_D($C$92)</f>
        <v>78.1952</v>
      </c>
      <c r="C96" s="82"/>
      <c r="D96" s="77"/>
    </row>
    <row r="97" spans="1:8" ht="16" thickBot="1" x14ac:dyDescent="0.4">
      <c r="B97" s="130">
        <f ca="1">[1]!stdnum_E($C$92)</f>
        <v>71.086545454545458</v>
      </c>
      <c r="C97" s="84"/>
      <c r="D97" s="78"/>
    </row>
    <row r="98" spans="1:8" ht="16" thickTop="1" x14ac:dyDescent="0.35"/>
    <row r="100" spans="1:8" x14ac:dyDescent="0.35">
      <c r="A100" s="120" t="s">
        <v>1952</v>
      </c>
    </row>
    <row r="101" spans="1:8" x14ac:dyDescent="0.35">
      <c r="A101" s="8">
        <f ca="1">RANDBETWEEN(30,50)*1000</f>
        <v>46000</v>
      </c>
      <c r="B101" s="2" t="s">
        <v>1340</v>
      </c>
      <c r="D101" s="24">
        <f ca="1">A101+A103*sign5</f>
        <v>47800</v>
      </c>
      <c r="E101" s="2" t="s">
        <v>2512</v>
      </c>
      <c r="G101" s="14">
        <f ca="1">D104/A101-1</f>
        <v>0.39522233197828127</v>
      </c>
      <c r="H101" s="2" t="s">
        <v>743</v>
      </c>
    </row>
    <row r="102" spans="1:8" x14ac:dyDescent="0.35">
      <c r="A102" s="14">
        <f ca="1">RANDBETWEEN(3,10)/100</f>
        <v>7.0000000000000007E-2</v>
      </c>
      <c r="B102" s="2" t="s">
        <v>1341</v>
      </c>
      <c r="D102" s="29"/>
      <c r="G102" s="14">
        <f ca="1">D101/D104-1</f>
        <v>-0.25522233197828115</v>
      </c>
      <c r="H102" s="2" t="s">
        <v>744</v>
      </c>
    </row>
    <row r="103" spans="1:8" x14ac:dyDescent="0.35">
      <c r="A103" s="8">
        <f ca="1">ROUND(A101*ABS(1-(1+RANDBETWEEN(3,7)/100)^(IF(RANDBETWEEN(0,1)=0,1,-1))),-2)</f>
        <v>1800</v>
      </c>
      <c r="B103" s="2" t="s">
        <v>1342</v>
      </c>
      <c r="D103" s="24">
        <f ca="1">((1+A102)^2*A101^2-A101*D101)^0.5</f>
        <v>14960.227271000933</v>
      </c>
      <c r="E103" s="2" t="s">
        <v>1439</v>
      </c>
      <c r="G103" s="14">
        <f ca="1">(G101+G102)/2</f>
        <v>7.0000000000000062E-2</v>
      </c>
      <c r="H103" s="2" t="s">
        <v>745</v>
      </c>
    </row>
    <row r="104" spans="1:8" x14ac:dyDescent="0.35">
      <c r="A104" s="4" t="str">
        <f ca="1">IF(sign5&gt;0,"more","less")</f>
        <v>more</v>
      </c>
      <c r="B104" s="2" t="s">
        <v>2511</v>
      </c>
      <c r="D104" s="24">
        <f ca="1">(1+A102)*A101+(IF(RANDBETWEEN(0,1)=0,1,-1))*D103</f>
        <v>64180.227271000935</v>
      </c>
      <c r="E104" s="2" t="s">
        <v>1440</v>
      </c>
    </row>
    <row r="105" spans="1:8" ht="16" thickBot="1" x14ac:dyDescent="0.4"/>
    <row r="106" spans="1:8" ht="16.5" thickTop="1" thickBot="1" x14ac:dyDescent="0.4">
      <c r="B106" s="76" t="str">
        <f ca="1">[1]!std_ans($C$106)</f>
        <v>D</v>
      </c>
      <c r="C106" s="79" t="str">
        <f ca="1" xml:space="preserve"> "/\" &amp;RANDBETWEEN( 1,120) &amp; "/\" &amp;RANDBETWEEN( 1,120) &amp; "/\" &amp;0.1 &amp; "/\" &amp; D104</f>
        <v>/\89/\53/\0.1/\64180.2272710009</v>
      </c>
      <c r="D106" s="80" t="s">
        <v>1953</v>
      </c>
    </row>
    <row r="107" spans="1:8" ht="16" thickTop="1" x14ac:dyDescent="0.35">
      <c r="B107" s="110">
        <f ca="1">[1]!stdnum_A($C$106)</f>
        <v>58345.66115545536</v>
      </c>
      <c r="C107" s="82"/>
      <c r="D107" s="77"/>
    </row>
    <row r="108" spans="1:8" x14ac:dyDescent="0.35">
      <c r="B108" s="110">
        <f ca="1">[1]!stdnum_B($C$106)</f>
        <v>77658.074997911099</v>
      </c>
      <c r="C108" s="82"/>
      <c r="D108" s="77"/>
    </row>
    <row r="109" spans="1:8" x14ac:dyDescent="0.35">
      <c r="B109" s="110">
        <f ca="1">[1]!stdnum_C($C$106)</f>
        <v>70598.24999810099</v>
      </c>
      <c r="C109" s="82"/>
      <c r="D109" s="77"/>
    </row>
    <row r="110" spans="1:8" x14ac:dyDescent="0.35">
      <c r="B110" s="110">
        <f ca="1">[1]!stdnum_D($C$106)</f>
        <v>64180.227271000898</v>
      </c>
      <c r="C110" s="82"/>
      <c r="D110" s="77"/>
    </row>
    <row r="111" spans="1:8" ht="16" thickBot="1" x14ac:dyDescent="0.4">
      <c r="B111" s="111">
        <f ca="1">[1]!stdnum_E($C$106)</f>
        <v>53041.510141323051</v>
      </c>
      <c r="C111" s="84"/>
      <c r="D111" s="78"/>
    </row>
    <row r="112" spans="1:8" ht="16" thickTop="1" x14ac:dyDescent="0.35"/>
    <row r="114" spans="1:9" x14ac:dyDescent="0.35">
      <c r="A114" s="88" t="s">
        <v>1954</v>
      </c>
    </row>
    <row r="115" spans="1:9" x14ac:dyDescent="0.35">
      <c r="A115" s="8">
        <f ca="1">RANDBETWEEN(30,50)*1000</f>
        <v>35000</v>
      </c>
      <c r="B115" s="2" t="s">
        <v>596</v>
      </c>
      <c r="D115" s="24">
        <f ca="1">A115*(1+A117)^(A116-1)</f>
        <v>50716.1830696205</v>
      </c>
      <c r="E115" s="2" t="s">
        <v>3455</v>
      </c>
      <c r="H115" s="10">
        <f ca="1">D117*A117</f>
        <v>4205.8423457805584</v>
      </c>
      <c r="I115" s="2" t="s">
        <v>2484</v>
      </c>
    </row>
    <row r="116" spans="1:9" x14ac:dyDescent="0.35">
      <c r="A116" s="265">
        <f ca="1">RANDBETWEEN(4,14)</f>
        <v>6</v>
      </c>
      <c r="B116" s="2" t="s">
        <v>597</v>
      </c>
      <c r="D116" s="24">
        <f ca="1">D115*A117</f>
        <v>3905.1460963607783</v>
      </c>
      <c r="E116" s="2" t="s">
        <v>2482</v>
      </c>
      <c r="H116" s="10">
        <f ca="1">H115-A117*A115</f>
        <v>1510.8423457805584</v>
      </c>
      <c r="I116" s="2" t="s">
        <v>2485</v>
      </c>
    </row>
    <row r="117" spans="1:9" x14ac:dyDescent="0.35">
      <c r="A117" s="14">
        <f ca="1">RANDBETWEEN(40,80)/1000</f>
        <v>7.6999999999999999E-2</v>
      </c>
      <c r="B117" s="2" t="s">
        <v>985</v>
      </c>
      <c r="D117" s="24">
        <f ca="1">A115*(1+A117)^A116</f>
        <v>54621.329165981275</v>
      </c>
      <c r="E117" s="2" t="s">
        <v>2483</v>
      </c>
    </row>
    <row r="119" spans="1:9" ht="16" thickBot="1" x14ac:dyDescent="0.4">
      <c r="B119" s="120" t="s">
        <v>1955</v>
      </c>
      <c r="F119" s="88" t="s">
        <v>2987</v>
      </c>
    </row>
    <row r="120" spans="1:9" ht="16.5" thickTop="1" thickBot="1" x14ac:dyDescent="0.4">
      <c r="B120" s="76" t="str">
        <f ca="1">[1]!std_ans($C$120)</f>
        <v>C</v>
      </c>
      <c r="C120" s="79" t="str">
        <f ca="1" xml:space="preserve"> "/\" &amp;RANDBETWEEN( 1,120) &amp; "/\" &amp;RANDBETWEEN( 1,120) &amp; "/\" &amp;0.1 &amp; "/\" &amp; D116</f>
        <v>/\109/\22/\0.1/\3905.14609636078</v>
      </c>
      <c r="D120" s="80" t="s">
        <v>1956</v>
      </c>
      <c r="F120" s="76" t="str">
        <f ca="1">[1]!std_ans($G$120)</f>
        <v>A</v>
      </c>
      <c r="G120" s="79" t="str">
        <f ca="1" xml:space="preserve"> "/\" &amp;RANDBETWEEN( 1,120) &amp; "/\" &amp;RANDBETWEEN( 1,120) &amp; "/\" &amp;0.1 &amp; "/\" &amp; H116</f>
        <v>/\3/\102/\0.1/\1510.84234578056</v>
      </c>
      <c r="H120" s="80" t="s">
        <v>2988</v>
      </c>
    </row>
    <row r="121" spans="1:9" ht="16" thickTop="1" x14ac:dyDescent="0.35">
      <c r="B121" s="110">
        <f ca="1">[1]!stdnum_A($C$120)</f>
        <v>4295.6607059968583</v>
      </c>
      <c r="C121" s="82"/>
      <c r="D121" s="77"/>
      <c r="F121" s="110">
        <f ca="1">[1]!stdnum_A($G$120)</f>
        <v>1510.84234578056</v>
      </c>
      <c r="G121" s="82"/>
      <c r="H121" s="77"/>
    </row>
    <row r="122" spans="1:9" x14ac:dyDescent="0.35">
      <c r="B122" s="110">
        <f ca="1">[1]!stdnum_B($C$120)</f>
        <v>4725.2267765965444</v>
      </c>
      <c r="C122" s="82"/>
      <c r="D122" s="77"/>
      <c r="F122" s="110">
        <f ca="1">[1]!stdnum_B($G$120)</f>
        <v>1031.9256511034489</v>
      </c>
      <c r="G122" s="82"/>
      <c r="H122" s="77"/>
    </row>
    <row r="123" spans="1:9" x14ac:dyDescent="0.35">
      <c r="B123" s="110">
        <f ca="1">[1]!stdnum_C($C$120)</f>
        <v>3905.1460963607801</v>
      </c>
      <c r="C123" s="82"/>
      <c r="D123" s="77"/>
      <c r="F123" s="110">
        <f ca="1">[1]!stdnum_C($G$120)</f>
        <v>1248.6300378351734</v>
      </c>
      <c r="G123" s="82"/>
      <c r="H123" s="77"/>
    </row>
    <row r="124" spans="1:9" x14ac:dyDescent="0.35">
      <c r="B124" s="110">
        <f ca="1">[1]!stdnum_D($C$120)</f>
        <v>5717.5243996818199</v>
      </c>
      <c r="C124" s="82"/>
      <c r="D124" s="77"/>
      <c r="F124" s="110">
        <f ca="1">[1]!stdnum_D($G$120)</f>
        <v>1373.4930416186908</v>
      </c>
      <c r="G124" s="82"/>
      <c r="H124" s="77"/>
    </row>
    <row r="125" spans="1:9" ht="16" thickBot="1" x14ac:dyDescent="0.4">
      <c r="B125" s="111">
        <f ca="1">[1]!stdnum_E($C$120)</f>
        <v>5197.7494542561999</v>
      </c>
      <c r="C125" s="84"/>
      <c r="D125" s="78"/>
      <c r="F125" s="111">
        <f ca="1">[1]!stdnum_E($G$120)</f>
        <v>1135.1182162137939</v>
      </c>
      <c r="G125" s="84"/>
      <c r="H125" s="78"/>
    </row>
    <row r="126" spans="1:9" ht="16" thickTop="1" x14ac:dyDescent="0.35"/>
    <row r="128" spans="1:9" x14ac:dyDescent="0.35">
      <c r="A128" s="120" t="s">
        <v>2245</v>
      </c>
    </row>
    <row r="129" spans="1:8" x14ac:dyDescent="0.35">
      <c r="A129" s="20">
        <f ca="1">RANDBETWEEN(20,36)</f>
        <v>34</v>
      </c>
      <c r="B129" s="2" t="s">
        <v>596</v>
      </c>
    </row>
    <row r="130" spans="1:8" x14ac:dyDescent="0.35">
      <c r="A130" s="4">
        <f ca="1">RANDBETWEEN(17,20)*20</f>
        <v>360</v>
      </c>
      <c r="B130" s="2" t="s">
        <v>597</v>
      </c>
    </row>
    <row r="131" spans="1:8" x14ac:dyDescent="0.35">
      <c r="A131" s="7">
        <f ca="1">RANDBETWEEN(55,70)/1000</f>
        <v>6.8000000000000005E-2</v>
      </c>
      <c r="B131" s="2" t="s">
        <v>985</v>
      </c>
    </row>
    <row r="132" spans="1:8" x14ac:dyDescent="0.35">
      <c r="A132" s="266">
        <f ca="1">A129*(1+A131)^A130/1000000000</f>
        <v>656.3415318935273</v>
      </c>
      <c r="B132" s="2" t="s">
        <v>909</v>
      </c>
      <c r="C132" s="264">
        <f ca="1">IF(A132&gt;5,A132,"#RECALCULATE")</f>
        <v>656.3415318935273</v>
      </c>
    </row>
    <row r="133" spans="1:8" ht="16" thickBot="1" x14ac:dyDescent="0.4"/>
    <row r="134" spans="1:8" ht="16.5" thickTop="1" thickBot="1" x14ac:dyDescent="0.4">
      <c r="B134" s="76" t="str">
        <f ca="1">[1]!std_ans($C$134)</f>
        <v>E</v>
      </c>
      <c r="C134" s="79" t="str">
        <f ca="1" xml:space="preserve"> "/\" &amp;RANDBETWEEN( 1,120) &amp; "/\" &amp;RANDBETWEEN( 1,120) &amp; "/\" &amp;0.1 &amp; "/\" &amp; C132</f>
        <v>/\106/\101/\0.1/\656.341531893527</v>
      </c>
      <c r="D134" s="80" t="s">
        <v>1883</v>
      </c>
    </row>
    <row r="135" spans="1:8" ht="16" thickTop="1" x14ac:dyDescent="0.35">
      <c r="B135" s="300">
        <f ca="1">[1]!stdnum_A($C$134)</f>
        <v>542.43101809382392</v>
      </c>
      <c r="C135" s="82"/>
      <c r="D135" s="77"/>
    </row>
    <row r="136" spans="1:8" x14ac:dyDescent="0.35">
      <c r="B136" s="300">
        <f ca="1">[1]!stdnum_B($C$134)</f>
        <v>448.2900975982015</v>
      </c>
      <c r="C136" s="82"/>
      <c r="D136" s="77"/>
    </row>
    <row r="137" spans="1:8" x14ac:dyDescent="0.35">
      <c r="B137" s="300">
        <f ca="1">[1]!stdnum_C($C$134)</f>
        <v>596.67411990320636</v>
      </c>
      <c r="C137" s="82"/>
      <c r="D137" s="77"/>
    </row>
    <row r="138" spans="1:8" x14ac:dyDescent="0.35">
      <c r="B138" s="300">
        <f ca="1">[1]!stdnum_D($C$134)</f>
        <v>493.11910735802161</v>
      </c>
      <c r="C138" s="82"/>
      <c r="D138" s="77"/>
    </row>
    <row r="139" spans="1:8" ht="16" thickBot="1" x14ac:dyDescent="0.4">
      <c r="B139" s="301">
        <f ca="1">[1]!stdnum_E($C$134)</f>
        <v>656.34153189352696</v>
      </c>
      <c r="C139" s="84"/>
      <c r="D139" s="78"/>
    </row>
    <row r="140" spans="1:8" ht="16" thickTop="1" x14ac:dyDescent="0.35"/>
    <row r="142" spans="1:8" x14ac:dyDescent="0.35">
      <c r="A142" s="88" t="s">
        <v>475</v>
      </c>
    </row>
    <row r="143" spans="1:8" x14ac:dyDescent="0.35">
      <c r="A143" s="20">
        <f ca="1">RANDBETWEEN(10,30)*100</f>
        <v>2400</v>
      </c>
      <c r="B143" s="2" t="s">
        <v>596</v>
      </c>
      <c r="D143" s="10">
        <f ca="1">A146-A143</f>
        <v>8711.3698478309452</v>
      </c>
      <c r="E143" s="2" t="s">
        <v>1445</v>
      </c>
      <c r="H143" s="4">
        <f ca="1">RANDBETWEEN(1,3)</f>
        <v>1</v>
      </c>
    </row>
    <row r="144" spans="1:8" x14ac:dyDescent="0.35">
      <c r="A144" s="4">
        <f ca="1">RANDBETWEEN(10,20)</f>
        <v>19</v>
      </c>
      <c r="B144" s="2" t="s">
        <v>597</v>
      </c>
      <c r="D144" s="10">
        <f ca="1">A145*A143*A144</f>
        <v>3830.4000000000005</v>
      </c>
      <c r="E144" s="2" t="s">
        <v>733</v>
      </c>
      <c r="H144" s="142">
        <f ca="1">CHOOSE(H143,D143,D144,D145)</f>
        <v>8711.3698478309452</v>
      </c>
    </row>
    <row r="145" spans="1:12" x14ac:dyDescent="0.35">
      <c r="A145" s="7">
        <f ca="1">RANDBETWEEN(70,120)/1000</f>
        <v>8.4000000000000005E-2</v>
      </c>
      <c r="B145" s="2" t="s">
        <v>985</v>
      </c>
      <c r="D145" s="10">
        <f ca="1">D143-D144</f>
        <v>4880.9698478309447</v>
      </c>
      <c r="E145" s="2" t="s">
        <v>192</v>
      </c>
      <c r="H145" s="2" t="str">
        <f ca="1">CHOOSE(H143,"total interest","total interest-on-principal","total interest-on-interest")</f>
        <v>total interest</v>
      </c>
    </row>
    <row r="146" spans="1:12" x14ac:dyDescent="0.35">
      <c r="A146" s="20">
        <f ca="1">A143*(1+A145)^A144</f>
        <v>11111.369847830945</v>
      </c>
      <c r="B146" s="2" t="s">
        <v>909</v>
      </c>
    </row>
    <row r="148" spans="1:12" ht="16" thickBot="1" x14ac:dyDescent="0.4">
      <c r="B148" s="120" t="s">
        <v>474</v>
      </c>
      <c r="F148" s="120" t="s">
        <v>477</v>
      </c>
      <c r="J148" s="120" t="s">
        <v>479</v>
      </c>
    </row>
    <row r="149" spans="1:12" ht="16.5" thickTop="1" thickBot="1" x14ac:dyDescent="0.4">
      <c r="B149" s="76" t="str">
        <f ca="1">[1]!std_ans($C$149)</f>
        <v>B</v>
      </c>
      <c r="C149" s="79" t="str">
        <f ca="1" xml:space="preserve"> "/\" &amp;RANDBETWEEN( 1,120) &amp; "/\" &amp;RANDBETWEEN( 1,120) &amp; "/\" &amp;0.1 &amp; "/\" &amp; A146</f>
        <v>/\77/\97/\0.1/\11111.3698478309</v>
      </c>
      <c r="D149" s="80" t="s">
        <v>476</v>
      </c>
      <c r="F149" s="76" t="str">
        <f ca="1">[1]!std_ans($G$149)</f>
        <v>A</v>
      </c>
      <c r="G149" s="79" t="str">
        <f ca="1" xml:space="preserve"> "/\" &amp;RANDBETWEEN( 1,120) &amp; "/\" &amp;RANDBETWEEN( 1,120) &amp; "/\" &amp;0.1 &amp; "/\" &amp; D143</f>
        <v>/\10/\67/\0.1/\8711.36984783095</v>
      </c>
      <c r="H149" s="80" t="s">
        <v>478</v>
      </c>
      <c r="J149" s="76" t="str">
        <f ca="1">[1]!std_ans($K$149)</f>
        <v>C</v>
      </c>
      <c r="K149" s="79" t="str">
        <f ca="1" xml:space="preserve"> "/\" &amp;RANDBETWEEN( 1,120) &amp; "/\" &amp;RANDBETWEEN( 1,120) &amp; "/\" &amp;0.1 &amp; "/\" &amp; D144</f>
        <v>/\103/\30/\0.1/\3830.4</v>
      </c>
      <c r="L149" s="80" t="s">
        <v>480</v>
      </c>
    </row>
    <row r="150" spans="1:12" ht="16" thickTop="1" x14ac:dyDescent="0.35">
      <c r="B150" s="110">
        <f ca="1">[1]!stdnum_A($C$149)</f>
        <v>9182.9502874635527</v>
      </c>
      <c r="C150" s="82"/>
      <c r="D150" s="77"/>
      <c r="F150" s="110">
        <f ca="1">[1]!stdnum_A($G$149)</f>
        <v>8711.3698478309507</v>
      </c>
      <c r="G150" s="82"/>
      <c r="H150" s="77"/>
      <c r="J150" s="110">
        <f ca="1">[1]!stdnum_A($K$149)</f>
        <v>4213.4400000000005</v>
      </c>
      <c r="K150" s="82"/>
      <c r="L150" s="77"/>
    </row>
    <row r="151" spans="1:12" x14ac:dyDescent="0.35">
      <c r="B151" s="110">
        <f ca="1">[1]!stdnum_B($C$149)</f>
        <v>11111.3698478309</v>
      </c>
      <c r="C151" s="82"/>
      <c r="D151" s="77"/>
      <c r="F151" s="110">
        <f ca="1">[1]!stdnum_B($G$149)</f>
        <v>7199.4792130834294</v>
      </c>
      <c r="G151" s="82"/>
      <c r="H151" s="77"/>
      <c r="J151" s="110">
        <f ca="1">[1]!stdnum_B($K$149)</f>
        <v>3482.181818181818</v>
      </c>
      <c r="K151" s="82"/>
      <c r="L151" s="77"/>
    </row>
    <row r="152" spans="1:12" x14ac:dyDescent="0.35">
      <c r="B152" s="110">
        <f ca="1">[1]!stdnum_C($C$149)</f>
        <v>10101.245316209908</v>
      </c>
      <c r="C152" s="82"/>
      <c r="D152" s="77"/>
      <c r="F152" s="110">
        <f ca="1">[1]!stdnum_C($G$149)</f>
        <v>7919.4271343917735</v>
      </c>
      <c r="G152" s="82"/>
      <c r="H152" s="77"/>
      <c r="J152" s="110">
        <f ca="1">[1]!stdnum_C($K$149)</f>
        <v>3830.4</v>
      </c>
      <c r="K152" s="82"/>
      <c r="L152" s="77"/>
    </row>
    <row r="153" spans="1:12" x14ac:dyDescent="0.35">
      <c r="B153" s="110">
        <f ca="1">[1]!stdnum_D($C$149)</f>
        <v>7589.2151136062403</v>
      </c>
      <c r="C153" s="82"/>
      <c r="D153" s="77"/>
      <c r="F153" s="110">
        <f ca="1">[1]!stdnum_D($G$149)</f>
        <v>9582.5068326140463</v>
      </c>
      <c r="G153" s="82"/>
      <c r="H153" s="77"/>
      <c r="J153" s="110">
        <f ca="1">[1]!stdnum_D($K$149)</f>
        <v>5098.2624000000014</v>
      </c>
      <c r="K153" s="82"/>
      <c r="L153" s="77"/>
    </row>
    <row r="154" spans="1:12" ht="16" thickBot="1" x14ac:dyDescent="0.4">
      <c r="B154" s="111">
        <f ca="1">[1]!stdnum_E($C$149)</f>
        <v>8348.1366249668645</v>
      </c>
      <c r="C154" s="84"/>
      <c r="D154" s="78"/>
      <c r="F154" s="111">
        <f ca="1">[1]!stdnum_E($G$149)</f>
        <v>10540.757515875452</v>
      </c>
      <c r="G154" s="84"/>
      <c r="H154" s="78"/>
      <c r="J154" s="111">
        <f ca="1">[1]!stdnum_E($K$149)</f>
        <v>4634.7840000000006</v>
      </c>
      <c r="K154" s="84"/>
      <c r="L154" s="78"/>
    </row>
    <row r="155" spans="1:12" ht="16" thickTop="1" x14ac:dyDescent="0.35"/>
    <row r="156" spans="1:12" ht="16" thickBot="1" x14ac:dyDescent="0.4">
      <c r="B156" s="120" t="s">
        <v>3805</v>
      </c>
      <c r="F156" s="88" t="s">
        <v>1132</v>
      </c>
    </row>
    <row r="157" spans="1:12" ht="16.5" thickTop="1" thickBot="1" x14ac:dyDescent="0.4">
      <c r="B157" s="76" t="str">
        <f ca="1">[1]!std_ans($C$157)</f>
        <v>C</v>
      </c>
      <c r="C157" s="79" t="str">
        <f ca="1" xml:space="preserve"> "/\" &amp;RANDBETWEEN( 1,120) &amp; "/\" &amp;RANDBETWEEN( 1,120) &amp; "/\" &amp;0.1 &amp; "/\" &amp; D145</f>
        <v>/\92/\111/\0.1/\4880.96984783094</v>
      </c>
      <c r="D157" s="80" t="s">
        <v>3806</v>
      </c>
      <c r="F157" s="76" t="str">
        <f ca="1">[1]!std_ans($G$157)</f>
        <v>B</v>
      </c>
      <c r="G157" s="79" t="str">
        <f ca="1" xml:space="preserve"> "/\" &amp;RANDBETWEEN( 1,120) &amp; "/\" &amp;RANDBETWEEN( 1,120) &amp; "/\" &amp;0.1 &amp; "/\" &amp; H144</f>
        <v>/\76/\46/\0.1/\8711.36984783095</v>
      </c>
      <c r="H157" s="80" t="s">
        <v>1133</v>
      </c>
    </row>
    <row r="158" spans="1:12" ht="16" thickTop="1" x14ac:dyDescent="0.35">
      <c r="B158" s="110">
        <f ca="1">[1]!stdnum_A($C$157)</f>
        <v>3333.7680812997328</v>
      </c>
      <c r="C158" s="82"/>
      <c r="D158" s="77"/>
      <c r="F158" s="110">
        <f ca="1">[1]!stdnum_A($G$157)</f>
        <v>10540.757515875452</v>
      </c>
      <c r="G158" s="82"/>
      <c r="H158" s="77"/>
    </row>
    <row r="159" spans="1:12" x14ac:dyDescent="0.35">
      <c r="B159" s="110">
        <f ca="1">[1]!stdnum_B($C$157)</f>
        <v>4437.2453162099455</v>
      </c>
      <c r="C159" s="82"/>
      <c r="D159" s="77"/>
      <c r="F159" s="110">
        <f ca="1">[1]!stdnum_B($G$157)</f>
        <v>8711.3698478309507</v>
      </c>
      <c r="G159" s="82"/>
      <c r="H159" s="77"/>
    </row>
    <row r="160" spans="1:12" x14ac:dyDescent="0.35">
      <c r="B160" s="110">
        <f ca="1">[1]!stdnum_C($C$157)</f>
        <v>4880.9698478309401</v>
      </c>
      <c r="C160" s="82"/>
      <c r="D160" s="77"/>
      <c r="F160" s="110">
        <f ca="1">[1]!stdnum_C($G$157)</f>
        <v>9582.5068326140463</v>
      </c>
      <c r="G160" s="82"/>
      <c r="H160" s="77"/>
    </row>
    <row r="161" spans="1:8" x14ac:dyDescent="0.35">
      <c r="B161" s="110">
        <f ca="1">[1]!stdnum_D($C$157)</f>
        <v>3667.1448894297059</v>
      </c>
      <c r="C161" s="82"/>
      <c r="D161" s="77"/>
      <c r="F161" s="110">
        <f ca="1">[1]!stdnum_D($G$157)</f>
        <v>7919.4271343917735</v>
      </c>
      <c r="G161" s="82"/>
      <c r="H161" s="77"/>
    </row>
    <row r="162" spans="1:8" ht="16" thickBot="1" x14ac:dyDescent="0.4">
      <c r="B162" s="111">
        <f ca="1">[1]!stdnum_E($C$157)</f>
        <v>4033.8593783726774</v>
      </c>
      <c r="C162" s="84"/>
      <c r="D162" s="78"/>
      <c r="F162" s="111">
        <f ca="1">[1]!stdnum_E($G$157)</f>
        <v>11594.833267462998</v>
      </c>
      <c r="G162" s="84"/>
      <c r="H162" s="78"/>
    </row>
    <row r="163" spans="1:8" ht="16" thickTop="1" x14ac:dyDescent="0.35"/>
    <row r="165" spans="1:8" x14ac:dyDescent="0.35">
      <c r="A165" s="88" t="s">
        <v>4</v>
      </c>
    </row>
    <row r="166" spans="1:8" x14ac:dyDescent="0.35">
      <c r="A166" s="8">
        <f ca="1">RANDBETWEEN(300,800)*10</f>
        <v>4230</v>
      </c>
      <c r="B166" s="2" t="s">
        <v>596</v>
      </c>
      <c r="D166" s="24">
        <f ca="1">ROUND(A166*(1+A168)^(A167-1),4)</f>
        <v>7829.4348</v>
      </c>
      <c r="E166" s="2" t="s">
        <v>3455</v>
      </c>
    </row>
    <row r="167" spans="1:8" x14ac:dyDescent="0.35">
      <c r="A167" s="265">
        <f ca="1">RANDBETWEEN(4,14)</f>
        <v>9</v>
      </c>
      <c r="B167" s="2" t="s">
        <v>597</v>
      </c>
      <c r="D167" s="13">
        <f ca="1">ROUND(D166*A168,2)</f>
        <v>626.35</v>
      </c>
      <c r="E167" s="2" t="s">
        <v>2721</v>
      </c>
    </row>
    <row r="168" spans="1:8" x14ac:dyDescent="0.35">
      <c r="A168" s="14">
        <f ca="1">RANDBETWEEN(40,80)/1000</f>
        <v>0.08</v>
      </c>
      <c r="B168" s="2" t="s">
        <v>985</v>
      </c>
      <c r="D168" s="232">
        <f ca="1">D166+D167</f>
        <v>8455.7847999999994</v>
      </c>
      <c r="E168" s="2" t="s">
        <v>2722</v>
      </c>
    </row>
    <row r="170" spans="1:8" ht="16" thickBot="1" x14ac:dyDescent="0.4">
      <c r="B170" s="120" t="s">
        <v>3</v>
      </c>
      <c r="F170" s="120" t="s">
        <v>1218</v>
      </c>
    </row>
    <row r="171" spans="1:8" ht="16.5" thickTop="1" thickBot="1" x14ac:dyDescent="0.4">
      <c r="B171" s="76" t="str">
        <f ca="1">[1]!std_ans($C$171)</f>
        <v>B</v>
      </c>
      <c r="C171" s="79" t="str">
        <f ca="1" xml:space="preserve"> "/\" &amp;RANDBETWEEN( 1,120) &amp; "/\" &amp;RANDBETWEEN( 1,120) &amp; "/\" &amp;0.1 &amp; "/\" &amp; D168</f>
        <v>/\74/\114/\0.1/\8455.7848</v>
      </c>
      <c r="D171" s="80" t="s">
        <v>5</v>
      </c>
      <c r="F171" s="76" t="str">
        <f ca="1">[1]!std_ans($G$171)</f>
        <v>E</v>
      </c>
      <c r="G171" s="79" t="str">
        <f ca="1" xml:space="preserve"> "/\" &amp;RANDBETWEEN( 1,120) &amp; "/\" &amp;RANDBETWEEN( 1,120) &amp; "/\" &amp;0.1 &amp; "/\" &amp; A166</f>
        <v>/\70/\20/\0.1/\4230</v>
      </c>
      <c r="H171" s="80" t="s">
        <v>1219</v>
      </c>
    </row>
    <row r="172" spans="1:8" ht="16" thickTop="1" x14ac:dyDescent="0.35">
      <c r="B172" s="110">
        <f ca="1">[1]!stdnum_A($C$171)</f>
        <v>6352.956273478585</v>
      </c>
      <c r="C172" s="82"/>
      <c r="D172" s="77"/>
      <c r="F172" s="110">
        <f ca="1">[1]!stdnum_A($G$171)</f>
        <v>4653</v>
      </c>
      <c r="G172" s="82"/>
      <c r="H172" s="77"/>
    </row>
    <row r="173" spans="1:8" x14ac:dyDescent="0.35">
      <c r="B173" s="110">
        <f ca="1">[1]!stdnum_B($C$171)</f>
        <v>8455.7847999999994</v>
      </c>
      <c r="C173" s="82"/>
      <c r="D173" s="77"/>
      <c r="F173" s="110">
        <f ca="1">[1]!stdnum_B($G$171)</f>
        <v>5118.3000000000011</v>
      </c>
      <c r="G173" s="82"/>
      <c r="H173" s="77"/>
    </row>
    <row r="174" spans="1:8" x14ac:dyDescent="0.35">
      <c r="B174" s="110">
        <f ca="1">[1]!stdnum_C($C$171)</f>
        <v>6988.2519008264453</v>
      </c>
      <c r="C174" s="82"/>
      <c r="D174" s="77"/>
      <c r="F174" s="110">
        <f ca="1">[1]!stdnum_C($G$171)</f>
        <v>6193.1430000000018</v>
      </c>
      <c r="G174" s="82"/>
      <c r="H174" s="77"/>
    </row>
    <row r="175" spans="1:8" x14ac:dyDescent="0.35">
      <c r="B175" s="110">
        <f ca="1">[1]!stdnum_D($C$171)</f>
        <v>5775.4147940714411</v>
      </c>
      <c r="C175" s="82"/>
      <c r="D175" s="77"/>
      <c r="F175" s="110">
        <f ca="1">[1]!stdnum_D($G$171)</f>
        <v>5630.1300000000019</v>
      </c>
      <c r="G175" s="82"/>
      <c r="H175" s="77"/>
    </row>
    <row r="176" spans="1:8" ht="16" thickBot="1" x14ac:dyDescent="0.4">
      <c r="B176" s="111">
        <f ca="1">[1]!stdnum_E($C$171)</f>
        <v>7687.0770909090897</v>
      </c>
      <c r="C176" s="84"/>
      <c r="D176" s="78"/>
      <c r="F176" s="111">
        <f ca="1">[1]!stdnum_E($G$171)</f>
        <v>4230</v>
      </c>
      <c r="G176" s="84"/>
      <c r="H176" s="78"/>
    </row>
    <row r="177" spans="1:10" ht="16" thickTop="1" x14ac:dyDescent="0.35"/>
    <row r="179" spans="1:10" x14ac:dyDescent="0.35">
      <c r="A179" s="120" t="s">
        <v>1220</v>
      </c>
    </row>
    <row r="180" spans="1:10" x14ac:dyDescent="0.35">
      <c r="A180" s="8">
        <f ca="1">RANDBETWEEN(25,50)*4000</f>
        <v>128000</v>
      </c>
      <c r="B180" s="2" t="s">
        <v>3275</v>
      </c>
      <c r="E180" s="8">
        <f ca="1">ROUND((1+RANDBETWEEN(1,2)/100)^(IF(RANDBETWEEN(0,1)=0,1,-1))*A180,-2)</f>
        <v>130600</v>
      </c>
      <c r="F180" s="2" t="s">
        <v>3276</v>
      </c>
      <c r="I180" s="14">
        <f ca="1">RANDBETWEEN(100,150)/1000</f>
        <v>0.13800000000000001</v>
      </c>
      <c r="J180" s="2" t="s">
        <v>1457</v>
      </c>
    </row>
    <row r="181" spans="1:10" x14ac:dyDescent="0.35">
      <c r="A181" s="14">
        <f ca="1">RANDBETWEEN(10,25)/1000</f>
        <v>2.4E-2</v>
      </c>
      <c r="B181" s="2" t="s">
        <v>1729</v>
      </c>
      <c r="E181" s="15">
        <f ca="1">A181+RANDBETWEEN(1,10)/1000</f>
        <v>2.6000000000000002E-2</v>
      </c>
      <c r="F181" s="2" t="s">
        <v>1355</v>
      </c>
    </row>
    <row r="182" spans="1:10" x14ac:dyDescent="0.35">
      <c r="A182" s="2">
        <f ca="1">10*RANDBETWEEN(2,4)</f>
        <v>40</v>
      </c>
      <c r="B182" s="2" t="s">
        <v>3543</v>
      </c>
      <c r="E182" s="2">
        <f ca="1">A182+5*RANDBETWEEN(1,2)</f>
        <v>45</v>
      </c>
      <c r="F182" s="2" t="s">
        <v>3273</v>
      </c>
    </row>
    <row r="183" spans="1:10" x14ac:dyDescent="0.35">
      <c r="A183" s="2">
        <f ca="1">10*RANDBETWEEN(6,9)</f>
        <v>60</v>
      </c>
      <c r="B183" s="2" t="s">
        <v>3542</v>
      </c>
      <c r="E183" s="2">
        <f ca="1">A183+5*RANDBETWEEN(1,3)</f>
        <v>65</v>
      </c>
      <c r="F183" s="2" t="s">
        <v>3274</v>
      </c>
    </row>
    <row r="184" spans="1:10" x14ac:dyDescent="0.35">
      <c r="A184" s="8">
        <f ca="1">A180*(1-A181)/(1+I180/365)^A182</f>
        <v>123053.24426152308</v>
      </c>
      <c r="B184" s="2" t="s">
        <v>3278</v>
      </c>
      <c r="E184" s="8">
        <f ca="1">E180*(1-E181)/(1+I180/365)^E182</f>
        <v>125058.89149948761</v>
      </c>
      <c r="F184" s="2" t="s">
        <v>3278</v>
      </c>
    </row>
    <row r="185" spans="1:10" x14ac:dyDescent="0.35">
      <c r="A185" s="8">
        <f ca="1">A180/(1+I180/365)^A183</f>
        <v>125129.55239070815</v>
      </c>
      <c r="B185" s="2" t="s">
        <v>3277</v>
      </c>
      <c r="E185" s="8">
        <f ca="1">E180/(1+I180/365)^E183</f>
        <v>127430.16881063431</v>
      </c>
      <c r="F185" s="2" t="s">
        <v>3277</v>
      </c>
    </row>
    <row r="187" spans="1:10" x14ac:dyDescent="0.35">
      <c r="C187" s="10">
        <f ca="1">MIN(A184,A185,E184,E185)</f>
        <v>123053.24426152308</v>
      </c>
      <c r="D187" s="2" t="s">
        <v>3845</v>
      </c>
      <c r="F187" s="2" t="str">
        <f ca="1">IF(C187=A184,"buy at a discount from A",IF(C187=A185, "buy at full price from A",IF(C187=E184,"buy at a discount from Z","buy at full price from Z")))</f>
        <v>buy at a discount from A</v>
      </c>
    </row>
    <row r="188" spans="1:10" x14ac:dyDescent="0.35">
      <c r="F188" s="2" t="str">
        <f ca="1">IF(C187=A184,"buy at a discount from Z",IF(C187=A185, "buy at full price from Z",IF(C187=E184,"buy at a discount from A","buy at full price from A")))</f>
        <v>buy at a discount from Z</v>
      </c>
    </row>
    <row r="189" spans="1:10" ht="16" thickBot="1" x14ac:dyDescent="0.4"/>
    <row r="190" spans="1:10" ht="16.5" thickTop="1" thickBot="1" x14ac:dyDescent="0.4">
      <c r="B190" s="76" t="str">
        <f ca="1">[1]!alpha_ans($C$190)</f>
        <v>C</v>
      </c>
      <c r="C190" s="79" t="str">
        <f ca="1" xml:space="preserve"> "/\" &amp;RANDBETWEEN( 1,5) &amp; "/\" &amp;RANDBETWEEN( 1,120) &amp; "/\" &amp;RANDBETWEEN( 1,6) &amp; "/\" &amp;RANDBETWEEN( 1,2) &amp; "/\" &amp; C187 &amp; "/\" &amp; "Mask" &amp; "/\" &amp; "Mask" &amp; "/\" &amp; F187 &amp; "/\" &amp; F188</f>
        <v>/\3/\32/\5/\2/\123053.244261523/\Mask/\Mask/\buy at a discount from A/\buy at a discount from Z</v>
      </c>
      <c r="D190" s="80" t="s">
        <v>1221</v>
      </c>
    </row>
    <row r="191" spans="1:10" ht="16" thickTop="1" x14ac:dyDescent="0.35">
      <c r="B191" s="110">
        <f ca="1">[1]!onepair_A($C$190)</f>
        <v>93045.931388675206</v>
      </c>
      <c r="C191" s="82" t="str">
        <f ca="1">[1]!onepair_A2($C$190)</f>
        <v>buy at a discount from A</v>
      </c>
      <c r="D191" s="77"/>
    </row>
    <row r="192" spans="1:10" x14ac:dyDescent="0.35">
      <c r="B192" s="110">
        <f ca="1">[1]!onepair_B($C$190)</f>
        <v>93045.931388675206</v>
      </c>
      <c r="C192" s="82" t="str">
        <f ca="1">[1]!onepair_B2($C$190)</f>
        <v>buy at a discount from Z</v>
      </c>
      <c r="D192" s="77"/>
    </row>
    <row r="193" spans="1:6" x14ac:dyDescent="0.35">
      <c r="B193" s="110">
        <f ca="1">[1]!onepair_C($C$190)</f>
        <v>123053.244261523</v>
      </c>
      <c r="C193" s="82" t="str">
        <f ca="1">[1]!onepair_C2($C$190)</f>
        <v>buy at a discount from A</v>
      </c>
      <c r="D193" s="77"/>
    </row>
    <row r="194" spans="1:6" x14ac:dyDescent="0.35">
      <c r="B194" s="110">
        <f ca="1">[1]!onepair_D($C$190)</f>
        <v>107002.821096977</v>
      </c>
      <c r="C194" s="82" t="str">
        <f ca="1">[1]!onepair_D2($C$190)</f>
        <v>buy at a discount from Z</v>
      </c>
      <c r="D194" s="77"/>
    </row>
    <row r="195" spans="1:6" ht="16" thickBot="1" x14ac:dyDescent="0.4">
      <c r="B195" s="111">
        <f ca="1">[1]!onepair_E($C$190)</f>
        <v>107002.821096977</v>
      </c>
      <c r="C195" s="84" t="str">
        <f ca="1">[1]!onepair_E2($C$190)</f>
        <v>buy at a discount from A</v>
      </c>
      <c r="D195" s="78"/>
    </row>
    <row r="196" spans="1:6" ht="16" thickTop="1" x14ac:dyDescent="0.35"/>
    <row r="198" spans="1:6" x14ac:dyDescent="0.35">
      <c r="A198" s="120" t="s">
        <v>32</v>
      </c>
    </row>
    <row r="199" spans="1:6" x14ac:dyDescent="0.35">
      <c r="A199" s="8">
        <f ca="1">RANDBETWEEN(25,50)*4000</f>
        <v>156000</v>
      </c>
      <c r="B199" s="2" t="s">
        <v>2461</v>
      </c>
      <c r="E199" s="8">
        <f ca="1">A199*(1+A200)^A201</f>
        <v>186852.171168</v>
      </c>
      <c r="F199" s="2" t="s">
        <v>3037</v>
      </c>
    </row>
    <row r="200" spans="1:6" x14ac:dyDescent="0.35">
      <c r="A200" s="14">
        <f ca="1">RANDBETWEEN(15,80)/1000</f>
        <v>6.2E-2</v>
      </c>
      <c r="B200" s="2" t="s">
        <v>2462</v>
      </c>
      <c r="E200" s="8">
        <f ca="1">E199/(1+A202)^A201</f>
        <v>136994.61939996982</v>
      </c>
      <c r="F200" s="2" t="s">
        <v>3595</v>
      </c>
    </row>
    <row r="201" spans="1:6" x14ac:dyDescent="0.35">
      <c r="A201" s="2">
        <f ca="1">RANDBETWEEN(3,8)</f>
        <v>3</v>
      </c>
      <c r="B201" s="2" t="s">
        <v>2463</v>
      </c>
    </row>
    <row r="202" spans="1:6" x14ac:dyDescent="0.35">
      <c r="A202" s="15">
        <f ca="1">A200+RANDBETWEEN(30,50)/1000</f>
        <v>0.109</v>
      </c>
      <c r="B202" s="2" t="s">
        <v>2995</v>
      </c>
    </row>
    <row r="203" spans="1:6" ht="16" thickBot="1" x14ac:dyDescent="0.4"/>
    <row r="204" spans="1:6" ht="16.5" thickTop="1" thickBot="1" x14ac:dyDescent="0.4">
      <c r="B204" s="76" t="str">
        <f ca="1">[1]!std_ans($C$204)</f>
        <v>B</v>
      </c>
      <c r="C204" s="79" t="str">
        <f ca="1" xml:space="preserve"> "/\" &amp;RANDBETWEEN( 1,120) &amp; "/\" &amp;RANDBETWEEN( 1,120) &amp; "/\" &amp;0.1 &amp; "/\" &amp; E200</f>
        <v>/\97/\50/\0.1/\136994.61939997</v>
      </c>
      <c r="D204" s="80" t="s">
        <v>33</v>
      </c>
    </row>
    <row r="205" spans="1:6" ht="16" thickTop="1" x14ac:dyDescent="0.35">
      <c r="B205" s="110">
        <f ca="1">[1]!stdnum_A($C$204)</f>
        <v>150694.081339967</v>
      </c>
      <c r="C205" s="82"/>
      <c r="D205" s="77"/>
    </row>
    <row r="206" spans="1:6" x14ac:dyDescent="0.35">
      <c r="B206" s="110">
        <f ca="1">[1]!stdnum_B($C$204)</f>
        <v>136994.61939996999</v>
      </c>
      <c r="C206" s="82"/>
      <c r="D206" s="77"/>
    </row>
    <row r="207" spans="1:6" x14ac:dyDescent="0.35">
      <c r="B207" s="110">
        <f ca="1">[1]!stdnum_C($C$204)</f>
        <v>113218.69371898346</v>
      </c>
      <c r="C207" s="82"/>
      <c r="D207" s="77"/>
    </row>
    <row r="208" spans="1:6" x14ac:dyDescent="0.35">
      <c r="B208" s="110">
        <f ca="1">[1]!stdnum_D($C$204)</f>
        <v>124540.5630908818</v>
      </c>
      <c r="C208" s="82"/>
      <c r="D208" s="77"/>
    </row>
    <row r="209" spans="1:5" ht="16" thickBot="1" x14ac:dyDescent="0.4">
      <c r="B209" s="111">
        <f ca="1">[1]!stdnum_E($C$204)</f>
        <v>165763.48947396371</v>
      </c>
      <c r="C209" s="84"/>
      <c r="D209" s="78"/>
    </row>
    <row r="210" spans="1:5" ht="16" thickTop="1" x14ac:dyDescent="0.35">
      <c r="B210" s="8"/>
    </row>
    <row r="212" spans="1:5" x14ac:dyDescent="0.35">
      <c r="A212" s="120" t="s">
        <v>2164</v>
      </c>
    </row>
    <row r="213" spans="1:5" x14ac:dyDescent="0.35">
      <c r="A213" s="8">
        <f ca="1">RANDBETWEEN(300,800)*100</f>
        <v>79800</v>
      </c>
      <c r="B213" s="2" t="s">
        <v>909</v>
      </c>
      <c r="D213" s="24">
        <f ca="1">A213*(1+A215)^(-A214)</f>
        <v>36424.935535222117</v>
      </c>
      <c r="E213" s="2" t="s">
        <v>596</v>
      </c>
    </row>
    <row r="214" spans="1:5" x14ac:dyDescent="0.35">
      <c r="A214" s="265">
        <f ca="1">RANDBETWEEN(8,24)</f>
        <v>8</v>
      </c>
      <c r="B214" s="2" t="s">
        <v>597</v>
      </c>
      <c r="D214" s="24"/>
    </row>
    <row r="215" spans="1:5" x14ac:dyDescent="0.35">
      <c r="A215" s="14">
        <f ca="1">RANDBETWEEN(100,180)/1000</f>
        <v>0.10299999999999999</v>
      </c>
      <c r="B215" s="2" t="s">
        <v>985</v>
      </c>
      <c r="D215" s="232"/>
    </row>
    <row r="216" spans="1:5" ht="16" thickBot="1" x14ac:dyDescent="0.4"/>
    <row r="217" spans="1:5" ht="16.5" thickTop="1" thickBot="1" x14ac:dyDescent="0.4">
      <c r="B217" s="76" t="str">
        <f ca="1">[1]!std_ans($C$217)</f>
        <v>A</v>
      </c>
      <c r="C217" s="79" t="str">
        <f ca="1" xml:space="preserve"> "/\" &amp;RANDBETWEEN( 1,120) &amp; "/\" &amp;RANDBETWEEN( 1,120) &amp; "/\" &amp;0.1 &amp; "/\" &amp; D213</f>
        <v>/\14/\111/\0.1/\36424.9355352221</v>
      </c>
      <c r="D217" s="80" t="s">
        <v>1280</v>
      </c>
    </row>
    <row r="218" spans="1:5" ht="16" thickTop="1" x14ac:dyDescent="0.35">
      <c r="B218" s="110">
        <f ca="1">[1]!stdnum_A($C$217)</f>
        <v>36424.935535222103</v>
      </c>
      <c r="C218" s="82"/>
      <c r="D218" s="77"/>
    </row>
    <row r="219" spans="1:5" x14ac:dyDescent="0.35">
      <c r="B219" s="110">
        <f ca="1">[1]!stdnum_B($C$217)</f>
        <v>24878.721081361993</v>
      </c>
      <c r="C219" s="82"/>
      <c r="D219" s="77"/>
    </row>
    <row r="220" spans="1:5" x14ac:dyDescent="0.35">
      <c r="B220" s="110">
        <f ca="1">[1]!stdnum_C($C$217)</f>
        <v>30103.252508448015</v>
      </c>
      <c r="C220" s="82"/>
      <c r="D220" s="77"/>
    </row>
    <row r="221" spans="1:5" x14ac:dyDescent="0.35">
      <c r="B221" s="110">
        <f ca="1">[1]!stdnum_D($C$217)</f>
        <v>33113.577759292821</v>
      </c>
      <c r="C221" s="82"/>
      <c r="D221" s="77"/>
    </row>
    <row r="222" spans="1:5" ht="16" thickBot="1" x14ac:dyDescent="0.4">
      <c r="B222" s="111">
        <f ca="1">[1]!stdnum_E($C$217)</f>
        <v>27366.593189498191</v>
      </c>
      <c r="C222" s="84"/>
      <c r="D222" s="78"/>
    </row>
    <row r="223" spans="1:5" ht="16" thickTop="1" x14ac:dyDescent="0.35"/>
    <row r="225" spans="1:5" x14ac:dyDescent="0.35">
      <c r="A225" s="120" t="s">
        <v>1765</v>
      </c>
    </row>
    <row r="226" spans="1:5" x14ac:dyDescent="0.35">
      <c r="A226" s="8">
        <f ca="1">RANDBETWEEN(300,800)*10</f>
        <v>5780</v>
      </c>
      <c r="B226" s="2" t="s">
        <v>909</v>
      </c>
      <c r="D226" s="24">
        <f ca="1">A226*(1+A228)^(-A227)</f>
        <v>5032.9427505846925</v>
      </c>
      <c r="E226" s="2" t="s">
        <v>596</v>
      </c>
    </row>
    <row r="227" spans="1:5" x14ac:dyDescent="0.35">
      <c r="A227" s="265">
        <f ca="1">RANDBETWEEN(8,24)</f>
        <v>12</v>
      </c>
      <c r="B227" s="2" t="s">
        <v>597</v>
      </c>
      <c r="D227" s="24"/>
    </row>
    <row r="228" spans="1:5" x14ac:dyDescent="0.35">
      <c r="A228" s="29">
        <f ca="1">RANDBETWEEN(60,140)/10000</f>
        <v>1.1599999999999999E-2</v>
      </c>
      <c r="B228" s="2" t="s">
        <v>985</v>
      </c>
      <c r="D228" s="232"/>
    </row>
    <row r="229" spans="1:5" ht="16" thickBot="1" x14ac:dyDescent="0.4"/>
    <row r="230" spans="1:5" ht="16.5" thickTop="1" thickBot="1" x14ac:dyDescent="0.4">
      <c r="B230" s="76" t="str">
        <f ca="1">[1]!std_ans($C$230)</f>
        <v>D</v>
      </c>
      <c r="C230" s="79" t="str">
        <f ca="1" xml:space="preserve"> "/\" &amp;RANDBETWEEN( 1,120) &amp; "/\" &amp;RANDBETWEEN( 1,120) &amp; "/\" &amp;0.1 &amp; "/\" &amp; D226</f>
        <v>/\39/\37/\0.1/\5032.94275058469</v>
      </c>
      <c r="D230" s="80" t="s">
        <v>1766</v>
      </c>
    </row>
    <row r="231" spans="1:5" ht="16" thickTop="1" x14ac:dyDescent="0.35">
      <c r="B231" s="110">
        <f ca="1">[1]!stdnum_A($C$230)</f>
        <v>6089.8607282074754</v>
      </c>
      <c r="C231" s="82"/>
      <c r="D231" s="77"/>
    </row>
    <row r="232" spans="1:5" x14ac:dyDescent="0.35">
      <c r="B232" s="110">
        <f ca="1">[1]!stdnum_B($C$230)</f>
        <v>5536.2370256431595</v>
      </c>
      <c r="C232" s="82"/>
      <c r="D232" s="77"/>
    </row>
    <row r="233" spans="1:5" x14ac:dyDescent="0.35">
      <c r="B233" s="110">
        <f ca="1">[1]!stdnum_C($C$230)</f>
        <v>4575.4025005315361</v>
      </c>
      <c r="C233" s="82"/>
      <c r="D233" s="77"/>
    </row>
    <row r="234" spans="1:5" x14ac:dyDescent="0.35">
      <c r="B234" s="110">
        <f ca="1">[1]!stdnum_D($C$230)</f>
        <v>5032.9427505846897</v>
      </c>
      <c r="C234" s="82"/>
      <c r="D234" s="77"/>
    </row>
    <row r="235" spans="1:5" ht="16" thickBot="1" x14ac:dyDescent="0.4">
      <c r="B235" s="111">
        <f ca="1">[1]!stdnum_E($C$230)</f>
        <v>6698.846801028224</v>
      </c>
      <c r="C235" s="84"/>
      <c r="D235" s="78"/>
    </row>
    <row r="236" spans="1:5" ht="16" thickTop="1" x14ac:dyDescent="0.35"/>
    <row r="238" spans="1:5" x14ac:dyDescent="0.35">
      <c r="A238" s="120" t="s">
        <v>1012</v>
      </c>
    </row>
    <row r="239" spans="1:5" x14ac:dyDescent="0.35">
      <c r="A239" s="8">
        <f ca="1">RANDBETWEEN(300,800)*10</f>
        <v>3910</v>
      </c>
      <c r="B239" s="2" t="s">
        <v>596</v>
      </c>
      <c r="D239" s="24">
        <f ca="1">A239*(1+A241)^(A240-1)</f>
        <v>6065.6933244759966</v>
      </c>
      <c r="E239" s="2" t="s">
        <v>3455</v>
      </c>
    </row>
    <row r="240" spans="1:5" x14ac:dyDescent="0.35">
      <c r="A240" s="265">
        <f ca="1">RANDBETWEEN(4,14)</f>
        <v>10</v>
      </c>
      <c r="B240" s="2" t="s">
        <v>597</v>
      </c>
      <c r="D240" s="24">
        <f ca="1">ROUND(D239*A241,0)</f>
        <v>303</v>
      </c>
      <c r="E240" s="2" t="s">
        <v>2721</v>
      </c>
    </row>
    <row r="241" spans="1:10" x14ac:dyDescent="0.35">
      <c r="A241" s="14">
        <f ca="1">RANDBETWEEN(40,80)/1000</f>
        <v>0.05</v>
      </c>
      <c r="B241" s="2" t="s">
        <v>985</v>
      </c>
      <c r="D241" s="232">
        <f ca="1">D239+D240</f>
        <v>6368.6933244759966</v>
      </c>
      <c r="E241" s="2" t="s">
        <v>2722</v>
      </c>
    </row>
    <row r="242" spans="1:10" ht="16" thickBot="1" x14ac:dyDescent="0.4"/>
    <row r="243" spans="1:10" ht="16.5" thickTop="1" thickBot="1" x14ac:dyDescent="0.4">
      <c r="B243" s="76" t="str">
        <f ca="1">[1]!std_ans($C$243)</f>
        <v>A</v>
      </c>
      <c r="C243" s="79" t="str">
        <f ca="1" xml:space="preserve"> "/\" &amp;RANDBETWEEN( 1,120) &amp; "/\" &amp;RANDBETWEEN( 1,120) &amp; "/\" &amp;0.1 &amp; "/\" &amp; A239</f>
        <v>/\18/\65/\0.1/\3910</v>
      </c>
      <c r="D243" s="80" t="s">
        <v>1013</v>
      </c>
    </row>
    <row r="244" spans="1:10" ht="16" thickTop="1" x14ac:dyDescent="0.35">
      <c r="B244" s="110">
        <f ca="1">[1]!stdnum_A($C$243)</f>
        <v>3910</v>
      </c>
      <c r="C244" s="82"/>
      <c r="D244" s="77"/>
    </row>
    <row r="245" spans="1:10" x14ac:dyDescent="0.35">
      <c r="B245" s="110">
        <f ca="1">[1]!stdnum_B($C$243)</f>
        <v>3231.4049586776855</v>
      </c>
      <c r="C245" s="82"/>
      <c r="D245" s="77"/>
    </row>
    <row r="246" spans="1:10" x14ac:dyDescent="0.35">
      <c r="B246" s="110">
        <f ca="1">[1]!stdnum_C($C$243)</f>
        <v>3554.5454545454545</v>
      </c>
      <c r="C246" s="82"/>
      <c r="D246" s="77"/>
    </row>
    <row r="247" spans="1:10" x14ac:dyDescent="0.35">
      <c r="B247" s="110">
        <f ca="1">[1]!stdnum_D($C$243)</f>
        <v>4731.1000000000004</v>
      </c>
      <c r="C247" s="82"/>
      <c r="D247" s="77"/>
    </row>
    <row r="248" spans="1:10" ht="16" thickBot="1" x14ac:dyDescent="0.4">
      <c r="B248" s="111">
        <f ca="1">[1]!stdnum_E($C$243)</f>
        <v>4301</v>
      </c>
      <c r="C248" s="84"/>
      <c r="D248" s="78"/>
    </row>
    <row r="249" spans="1:10" ht="16" thickTop="1" x14ac:dyDescent="0.35"/>
    <row r="251" spans="1:10" x14ac:dyDescent="0.35">
      <c r="A251" s="120" t="s">
        <v>1014</v>
      </c>
    </row>
    <row r="252" spans="1:10" x14ac:dyDescent="0.35">
      <c r="B252" s="22" t="s">
        <v>3268</v>
      </c>
      <c r="E252" s="22" t="s">
        <v>1333</v>
      </c>
      <c r="G252" s="2" t="s">
        <v>30</v>
      </c>
      <c r="H252" s="2" t="str">
        <f ca="1">"Investment A is best if A costs anything less than $"&amp;ROUND(A254,0)</f>
        <v>Investment A is best if A costs anything less than $3897</v>
      </c>
      <c r="I252" s="2" t="s">
        <v>1105</v>
      </c>
      <c r="J252" s="2" t="str">
        <f ca="1">"Investment A is best if A costs anything "&amp;IF(J257=1,"less than $","more than $")&amp;ROUND(A253/(1+D254)^D256,0)</f>
        <v>Investment A is best if A costs anything more than $5051</v>
      </c>
    </row>
    <row r="253" spans="1:10" x14ac:dyDescent="0.35">
      <c r="A253" s="8">
        <f ca="1">RANDBETWEEN(5,12)*1000</f>
        <v>11000</v>
      </c>
      <c r="B253" s="2" t="s">
        <v>909</v>
      </c>
      <c r="D253" s="8">
        <f ca="1">RANDBETWEEN(5,12)*1000</f>
        <v>10000</v>
      </c>
      <c r="E253" s="2" t="s">
        <v>909</v>
      </c>
      <c r="G253" s="2" t="s">
        <v>1573</v>
      </c>
      <c r="H253" s="2" t="str">
        <f ca="1">"Investment B is best if A costs anything more than $"&amp;ROUND(A254,0)</f>
        <v>Investment B is best if A costs anything more than $3897</v>
      </c>
      <c r="I253" s="2" t="s">
        <v>1607</v>
      </c>
      <c r="J253" s="2" t="str">
        <f ca="1">"Investment B is best if A costs anything "&amp;IF(J257=1,"less than $","more than $")&amp;ROUND(A254*0.82,0)</f>
        <v>Investment B is best if A costs anything more than $3196</v>
      </c>
    </row>
    <row r="254" spans="1:10" x14ac:dyDescent="0.35">
      <c r="A254" s="8">
        <f ca="1">A253/(1+D254)^A255</f>
        <v>3897.2832806065908</v>
      </c>
      <c r="B254" s="2" t="s">
        <v>596</v>
      </c>
      <c r="D254" s="29">
        <f ca="1">RANDBETWEEN(50,70)/1000</f>
        <v>6.7000000000000004E-2</v>
      </c>
      <c r="E254" s="2" t="s">
        <v>3576</v>
      </c>
      <c r="G254" s="2" t="s">
        <v>2352</v>
      </c>
      <c r="H254" s="2" t="str">
        <f ca="1">"Investment A is best if A costs anything less than $"&amp;ROUND(A254,0)</f>
        <v>Investment A is best if A costs anything less than $3897</v>
      </c>
      <c r="I254" s="2" t="s">
        <v>3406</v>
      </c>
      <c r="J254" s="2" t="str">
        <f ca="1">"Investment A is best if A costs anything "&amp;IF(J257=0,"less than $","more than $")&amp;ROUND(A253/(1+D254)^D256,0)</f>
        <v>Investment A is best if A costs anything less than $5051</v>
      </c>
    </row>
    <row r="255" spans="1:10" x14ac:dyDescent="0.35">
      <c r="A255" s="2">
        <f ca="1">D256+RANDBETWEEN(2,5)</f>
        <v>16</v>
      </c>
      <c r="B255" s="2" t="s">
        <v>597</v>
      </c>
      <c r="D255" s="8">
        <f ca="1">D253/(1+D254)^D256</f>
        <v>4592.2652697829744</v>
      </c>
      <c r="E255" s="2" t="s">
        <v>596</v>
      </c>
      <c r="G255" s="2" t="s">
        <v>3408</v>
      </c>
      <c r="H255" s="2" t="str">
        <f ca="1">"Investment B is best if A costs anything more than $"&amp;ROUND(A254,0)</f>
        <v>Investment B is best if A costs anything more than $3897</v>
      </c>
      <c r="I255" s="2" t="s">
        <v>3410</v>
      </c>
      <c r="J255" s="2" t="str">
        <f ca="1">"Investment B is best if A costs anything "&amp;IF(J257=0,"less than $","more than $")&amp;ROUND(A254*0.82,0)</f>
        <v>Investment B is best if A costs anything less than $3196</v>
      </c>
    </row>
    <row r="256" spans="1:10" x14ac:dyDescent="0.35">
      <c r="D256" s="2">
        <f ca="1">RANDBETWEEN(6,12)</f>
        <v>12</v>
      </c>
      <c r="E256" s="2" t="s">
        <v>597</v>
      </c>
      <c r="G256" s="2" t="s">
        <v>2605</v>
      </c>
      <c r="H256" s="2" t="str">
        <f ca="1">"Investment "&amp;IF((A253/D255)^(1/A255)-1&gt;D254,"A is best","B is best")&amp;" if A costs the same as B."</f>
        <v>Investment B is best if A costs the same as B.</v>
      </c>
      <c r="I256" s="2" t="s">
        <v>2606</v>
      </c>
      <c r="J256" s="2" t="str">
        <f ca="1">"Investment "&amp;IF((A253/D255)^(1/A255)-1&gt;D254,"B is best","A is best")&amp;" if A costs the same as B."</f>
        <v>Investment A is best if A costs the same as B.</v>
      </c>
    </row>
    <row r="257" spans="1:10" ht="16" thickBot="1" x14ac:dyDescent="0.4">
      <c r="J257" s="2">
        <f ca="1">(RANDBETWEEN(0,1))</f>
        <v>0</v>
      </c>
    </row>
    <row r="258" spans="1:10" ht="16.5" thickTop="1" thickBot="1" x14ac:dyDescent="0.4">
      <c r="B258" s="76" t="str">
        <f ca="1">[1]!alpha_ans($C$258)</f>
        <v>E</v>
      </c>
      <c r="C258" s="79" t="str">
        <f ca="1" xml:space="preserve"> "/\" &amp;RANDBETWEEN( 1,5) &amp; "/\" &amp;RANDBETWEEN( 1,120) &amp; "/\" &amp;H252&amp; "/\" &amp; J252 &amp; "/\" &amp; H253 &amp; "/\" &amp; J253 &amp; "/\" &amp; H254 &amp; "/\" &amp; J254 &amp; "/\" &amp; H255 &amp; "/\" &amp; J255 &amp; "/\" &amp; H256 &amp; "/\" &amp; J256</f>
        <v>/\5/\58/\Investment A is best if A costs anything less than $3897/\Investment A is best if A costs anything more than $5051/\Investment B is best if A costs anything more than $3897/\Investment B is best if A costs anything more than $3196/\Investment A is best if A costs anything less than $3897/\Investment A is best if A costs anything less than $5051/\Investment B is best if A costs anything more than $3897/\Investment B is best if A costs anything less than $3196/\Investment B is best if A costs the same as B./\Investment A is best if A costs the same as B.</v>
      </c>
      <c r="D258" s="80" t="s">
        <v>1015</v>
      </c>
    </row>
    <row r="259" spans="1:10" ht="16" thickTop="1" x14ac:dyDescent="0.35">
      <c r="B259" s="81" t="str">
        <f ca="1">[1]!standardV_A($C$258)</f>
        <v>Investment A is best if A costs anything less than $5051</v>
      </c>
      <c r="C259" s="82"/>
      <c r="D259" s="77"/>
    </row>
    <row r="260" spans="1:10" x14ac:dyDescent="0.35">
      <c r="B260" s="267" t="str">
        <f ca="1">[1]!standardV_B($C$258)</f>
        <v>Investment B is best if A costs anything more than $3196</v>
      </c>
      <c r="C260" s="82"/>
      <c r="D260" s="169"/>
    </row>
    <row r="261" spans="1:10" x14ac:dyDescent="0.35">
      <c r="B261" s="267" t="str">
        <f ca="1">[1]!standardV_C($C$258)</f>
        <v>Investment B is best if A costs anything less than $3196</v>
      </c>
      <c r="C261" s="82"/>
      <c r="D261" s="77"/>
    </row>
    <row r="262" spans="1:10" x14ac:dyDescent="0.35">
      <c r="B262" s="267" t="str">
        <f ca="1">[1]!standardV_D($C$258)</f>
        <v>Investment A is best if A costs the same as B.</v>
      </c>
      <c r="C262" s="82"/>
      <c r="D262" s="77"/>
    </row>
    <row r="263" spans="1:10" ht="16" thickBot="1" x14ac:dyDescent="0.4">
      <c r="B263" s="268" t="str">
        <f ca="1">[1]!standardV_E($C$258)</f>
        <v>Investment A is best if A costs anything less than $3897</v>
      </c>
      <c r="C263" s="84"/>
      <c r="D263" s="78"/>
    </row>
    <row r="264" spans="1:10" ht="16" thickTop="1" x14ac:dyDescent="0.35">
      <c r="B264" s="17"/>
      <c r="C264" s="17"/>
      <c r="D264" s="17"/>
    </row>
    <row r="266" spans="1:10" x14ac:dyDescent="0.35">
      <c r="A266" s="88" t="s">
        <v>1016</v>
      </c>
    </row>
    <row r="267" spans="1:10" x14ac:dyDescent="0.35">
      <c r="B267" s="22" t="s">
        <v>2102</v>
      </c>
      <c r="E267" s="22" t="s">
        <v>64</v>
      </c>
    </row>
    <row r="268" spans="1:10" x14ac:dyDescent="0.35">
      <c r="A268" s="8">
        <f ca="1">RANDBETWEEN(80,180)*100</f>
        <v>15300</v>
      </c>
      <c r="B268" s="2" t="s">
        <v>3382</v>
      </c>
      <c r="D268" s="8">
        <f ca="1">RANDBETWEEN(80,180)*100</f>
        <v>8800</v>
      </c>
      <c r="E268" s="2" t="s">
        <v>3382</v>
      </c>
      <c r="H268" s="2">
        <f ca="1">D270</f>
        <v>10</v>
      </c>
      <c r="I268" s="2" t="str">
        <f>"less , but not one year more"</f>
        <v>less , but not one year more</v>
      </c>
    </row>
    <row r="269" spans="1:10" x14ac:dyDescent="0.35">
      <c r="A269" s="29">
        <f ca="1">RANDBETWEEN(75,105)/1000</f>
        <v>9.4E-2</v>
      </c>
      <c r="B269" s="2" t="s">
        <v>3383</v>
      </c>
      <c r="D269" s="29">
        <f ca="1">RANDBETWEEN(75,105)/1000</f>
        <v>0.10100000000000001</v>
      </c>
      <c r="E269" s="2" t="s">
        <v>3383</v>
      </c>
      <c r="I269" s="2" t="str">
        <f>"more, but not one year less"</f>
        <v>more, but not one year less</v>
      </c>
    </row>
    <row r="270" spans="1:10" x14ac:dyDescent="0.35">
      <c r="A270" s="2">
        <f ca="1">RANDBETWEEN(12,26)</f>
        <v>18</v>
      </c>
      <c r="B270" s="2" t="s">
        <v>2941</v>
      </c>
      <c r="D270" s="2">
        <f ca="1">RANDBETWEEN(6,14)</f>
        <v>10</v>
      </c>
      <c r="E270" s="2" t="s">
        <v>1494</v>
      </c>
    </row>
    <row r="271" spans="1:10" x14ac:dyDescent="0.35">
      <c r="A271" s="8">
        <f ca="1">ROUND(A268*(1+A269/4)^A270,-1)</f>
        <v>23240</v>
      </c>
      <c r="B271" s="2" t="s">
        <v>1594</v>
      </c>
      <c r="D271" s="8">
        <f ca="1">ROUND(D268*(1+D269)^D270,-1)</f>
        <v>23030</v>
      </c>
      <c r="E271" s="2" t="s">
        <v>1594</v>
      </c>
    </row>
    <row r="272" spans="1:10" ht="16" thickBot="1" x14ac:dyDescent="0.4"/>
    <row r="273" spans="1:4" ht="16.5" thickTop="1" thickBot="1" x14ac:dyDescent="0.4">
      <c r="B273" s="76" t="str">
        <f ca="1">[1]!alpha_ans($C$273)</f>
        <v>E</v>
      </c>
      <c r="C273" s="79" t="str">
        <f ca="1" xml:space="preserve"> "/\" &amp;RANDBETWEEN( 1,5) &amp; "/\" &amp;RANDBETWEEN( 1,120) &amp; "/\" &amp;RANDBETWEEN( 1,6) &amp; "/\" &amp;RANDBETWEEN( 1,2) &amp; "/\" &amp; H268 &amp; "/\" &amp; "Mask" &amp; "/\" &amp; "Mask" &amp; "/\" &amp; I268 &amp; "/\" &amp; I269</f>
        <v>/\5/\6/\2/\2/\10/\Mask/\Mask/\less , but not one year more/\more, but not one year less</v>
      </c>
      <c r="D273" s="80" t="s">
        <v>1017</v>
      </c>
    </row>
    <row r="274" spans="1:4" ht="16" thickTop="1" x14ac:dyDescent="0.35">
      <c r="B274" s="81">
        <f ca="1">[1]!onepair_A($C$273)</f>
        <v>10</v>
      </c>
      <c r="C274" s="82" t="str">
        <f ca="1">[1]!onepair_A2($C$273)</f>
        <v>more, but not one year less</v>
      </c>
      <c r="D274" s="77"/>
    </row>
    <row r="275" spans="1:4" x14ac:dyDescent="0.35">
      <c r="B275" s="81">
        <f ca="1">[1]!onepair_B($C$273)</f>
        <v>13.225</v>
      </c>
      <c r="C275" s="82" t="str">
        <f ca="1">[1]!onepair_B2($C$273)</f>
        <v>less , but not one year more</v>
      </c>
      <c r="D275" s="77"/>
    </row>
    <row r="276" spans="1:4" x14ac:dyDescent="0.35">
      <c r="B276" s="81">
        <f ca="1">[1]!onepair_C($C$273)</f>
        <v>11.5</v>
      </c>
      <c r="C276" s="82" t="str">
        <f ca="1">[1]!onepair_C2($C$273)</f>
        <v>more, but not one year less</v>
      </c>
      <c r="D276" s="77"/>
    </row>
    <row r="277" spans="1:4" x14ac:dyDescent="0.35">
      <c r="B277" s="81">
        <f ca="1">[1]!onepair_D($C$273)</f>
        <v>11.5</v>
      </c>
      <c r="C277" s="82" t="str">
        <f ca="1">[1]!onepair_D2($C$273)</f>
        <v>less , but not one year more</v>
      </c>
      <c r="D277" s="77"/>
    </row>
    <row r="278" spans="1:4" ht="16" thickBot="1" x14ac:dyDescent="0.4">
      <c r="B278" s="83">
        <f ca="1">[1]!onepair_E($C$273)</f>
        <v>10</v>
      </c>
      <c r="C278" s="84" t="str">
        <f ca="1">[1]!onepair_E2($C$273)</f>
        <v>less , but not one year more</v>
      </c>
      <c r="D278" s="78"/>
    </row>
    <row r="279" spans="1:4" ht="16" thickTop="1" x14ac:dyDescent="0.35"/>
    <row r="281" spans="1:4" x14ac:dyDescent="0.35">
      <c r="A281" s="120" t="s">
        <v>263</v>
      </c>
    </row>
    <row r="282" spans="1:4" x14ac:dyDescent="0.35">
      <c r="A282" s="20">
        <f ca="1">RANDBETWEEN(20,36)*100</f>
        <v>2300</v>
      </c>
      <c r="B282" s="2" t="s">
        <v>596</v>
      </c>
    </row>
    <row r="283" spans="1:4" x14ac:dyDescent="0.35">
      <c r="A283" s="4">
        <f ca="1">LOG(A285/A282)/LOG(1+A284)</f>
        <v>15.000000000000005</v>
      </c>
      <c r="B283" s="2" t="s">
        <v>597</v>
      </c>
    </row>
    <row r="284" spans="1:4" x14ac:dyDescent="0.35">
      <c r="A284" s="7">
        <f ca="1">RANDBETWEEN(55,150)/1000</f>
        <v>7.0999999999999994E-2</v>
      </c>
      <c r="B284" s="2" t="s">
        <v>985</v>
      </c>
    </row>
    <row r="285" spans="1:4" x14ac:dyDescent="0.35">
      <c r="A285" s="95">
        <f ca="1">A282*(1+A284)^RANDBETWEEN(9,20)</f>
        <v>6435.3163129350432</v>
      </c>
      <c r="B285" s="2" t="s">
        <v>909</v>
      </c>
    </row>
    <row r="286" spans="1:4" ht="16" thickBot="1" x14ac:dyDescent="0.4"/>
    <row r="287" spans="1:4" ht="16.5" thickTop="1" thickBot="1" x14ac:dyDescent="0.4">
      <c r="B287" s="76" t="str">
        <f ca="1">[1]!std_ans($C$287)</f>
        <v>C</v>
      </c>
      <c r="C287" s="79" t="str">
        <f ca="1" xml:space="preserve"> "/\" &amp;RANDBETWEEN( 1,120) &amp; "/\" &amp;RANDBETWEEN( 1,120) &amp; "/\" &amp;1 &amp; "/\" &amp; A283</f>
        <v>/\43/\112/\1/\15</v>
      </c>
      <c r="D287" s="80" t="s">
        <v>264</v>
      </c>
    </row>
    <row r="288" spans="1:4" ht="16" thickTop="1" x14ac:dyDescent="0.35">
      <c r="B288" s="81">
        <f ca="1">[1]!stdnum_A($C$287)</f>
        <v>13</v>
      </c>
      <c r="C288" s="82"/>
      <c r="D288" s="77"/>
    </row>
    <row r="289" spans="1:5" x14ac:dyDescent="0.35">
      <c r="B289" s="81">
        <f ca="1">[1]!stdnum_B($C$287)</f>
        <v>11</v>
      </c>
      <c r="C289" s="82"/>
      <c r="D289" s="77"/>
    </row>
    <row r="290" spans="1:5" x14ac:dyDescent="0.35">
      <c r="B290" s="81">
        <f ca="1">[1]!stdnum_C($C$287)</f>
        <v>15</v>
      </c>
      <c r="C290" s="82"/>
      <c r="D290" s="77"/>
    </row>
    <row r="291" spans="1:5" x14ac:dyDescent="0.35">
      <c r="B291" s="81">
        <f ca="1">[1]!stdnum_D($C$287)</f>
        <v>12</v>
      </c>
      <c r="C291" s="82"/>
      <c r="D291" s="77"/>
    </row>
    <row r="292" spans="1:5" ht="16" thickBot="1" x14ac:dyDescent="0.4">
      <c r="B292" s="83">
        <f ca="1">[1]!stdnum_E($C$287)</f>
        <v>14</v>
      </c>
      <c r="C292" s="84"/>
      <c r="D292" s="78"/>
    </row>
    <row r="293" spans="1:5" ht="16" thickTop="1" x14ac:dyDescent="0.35"/>
    <row r="295" spans="1:5" x14ac:dyDescent="0.35">
      <c r="A295" s="88" t="s">
        <v>1662</v>
      </c>
    </row>
    <row r="296" spans="1:5" x14ac:dyDescent="0.35">
      <c r="A296" s="8">
        <f ca="1">RANDBETWEEN(300,800)*10</f>
        <v>5190</v>
      </c>
      <c r="B296" s="2" t="s">
        <v>596</v>
      </c>
      <c r="D296" s="24">
        <f ca="1">ROUND(A296*(1+A298)^(A297),-2)</f>
        <v>92500</v>
      </c>
      <c r="E296" s="2" t="s">
        <v>909</v>
      </c>
    </row>
    <row r="297" spans="1:5" x14ac:dyDescent="0.35">
      <c r="A297" s="265">
        <f ca="1">RANDBETWEEN(12,24)</f>
        <v>21</v>
      </c>
      <c r="B297" s="2" t="s">
        <v>597</v>
      </c>
      <c r="D297" s="24"/>
    </row>
    <row r="298" spans="1:5" x14ac:dyDescent="0.35">
      <c r="A298" s="14">
        <f ca="1">RANDBETWEEN(80,170)/1000</f>
        <v>0.14699999999999999</v>
      </c>
      <c r="B298" s="2" t="s">
        <v>985</v>
      </c>
      <c r="D298" s="232"/>
    </row>
    <row r="299" spans="1:5" ht="16" thickBot="1" x14ac:dyDescent="0.4"/>
    <row r="300" spans="1:5" ht="16.5" thickTop="1" thickBot="1" x14ac:dyDescent="0.4">
      <c r="B300" s="76" t="str">
        <f ca="1">[1]!std_ans($C$300)</f>
        <v>E</v>
      </c>
      <c r="C300" s="79" t="str">
        <f ca="1" xml:space="preserve"> "/\" &amp;RANDBETWEEN( 1,120) &amp; "/\" &amp;RANDBETWEEN( 1,120) &amp; "/\" &amp;0.1 &amp; "/\" &amp; A297</f>
        <v>/\72/\98/\0.1/\21</v>
      </c>
      <c r="D300" s="80" t="s">
        <v>1663</v>
      </c>
    </row>
    <row r="301" spans="1:5" ht="16" thickTop="1" x14ac:dyDescent="0.35">
      <c r="B301" s="81">
        <f ca="1">[1]!stdnum_A($C$300)</f>
        <v>15.777610818933129</v>
      </c>
      <c r="C301" s="82"/>
      <c r="D301" s="77"/>
    </row>
    <row r="302" spans="1:5" x14ac:dyDescent="0.35">
      <c r="B302" s="81">
        <f ca="1">[1]!stdnum_B($C$300)</f>
        <v>17.355371900826444</v>
      </c>
      <c r="C302" s="82"/>
      <c r="D302" s="77"/>
    </row>
    <row r="303" spans="1:5" x14ac:dyDescent="0.35">
      <c r="B303" s="81">
        <f ca="1">[1]!stdnum_C($C$300)</f>
        <v>19.09090909090909</v>
      </c>
      <c r="C303" s="82"/>
      <c r="D303" s="77"/>
    </row>
    <row r="304" spans="1:5" x14ac:dyDescent="0.35">
      <c r="B304" s="81">
        <f ca="1">[1]!stdnum_D($C$300)</f>
        <v>14.343282562666481</v>
      </c>
      <c r="C304" s="82"/>
      <c r="D304" s="77"/>
    </row>
    <row r="305" spans="1:5" ht="16" thickBot="1" x14ac:dyDescent="0.4">
      <c r="B305" s="83">
        <f ca="1">[1]!stdnum_E($C$300)</f>
        <v>21</v>
      </c>
      <c r="C305" s="84"/>
      <c r="D305" s="78"/>
    </row>
    <row r="306" spans="1:5" ht="16" thickTop="1" x14ac:dyDescent="0.35"/>
    <row r="308" spans="1:5" x14ac:dyDescent="0.35">
      <c r="A308" s="120" t="s">
        <v>2369</v>
      </c>
    </row>
    <row r="309" spans="1:5" x14ac:dyDescent="0.35">
      <c r="A309" s="8">
        <f ca="1">RANDBETWEEN(300,800)*100</f>
        <v>50100</v>
      </c>
      <c r="B309" s="2" t="s">
        <v>909</v>
      </c>
      <c r="D309" s="24">
        <f ca="1">ROUND(A309*(1+A311)^(-A310),-2)</f>
        <v>10800</v>
      </c>
      <c r="E309" s="2" t="s">
        <v>909</v>
      </c>
    </row>
    <row r="310" spans="1:5" x14ac:dyDescent="0.35">
      <c r="A310" s="265">
        <f ca="1">RANDBETWEEN(9,20)</f>
        <v>18</v>
      </c>
      <c r="B310" s="2" t="s">
        <v>597</v>
      </c>
      <c r="D310" s="24"/>
    </row>
    <row r="311" spans="1:5" x14ac:dyDescent="0.35">
      <c r="A311" s="14">
        <f ca="1">RANDBETWEEN(80,170)/1000</f>
        <v>8.8999999999999996E-2</v>
      </c>
      <c r="B311" s="2" t="s">
        <v>985</v>
      </c>
      <c r="D311" s="232"/>
    </row>
    <row r="312" spans="1:5" ht="16" thickBot="1" x14ac:dyDescent="0.4"/>
    <row r="313" spans="1:5" ht="16.5" thickTop="1" thickBot="1" x14ac:dyDescent="0.4">
      <c r="B313" s="76" t="str">
        <f ca="1">[1]!std_ans($C$313)</f>
        <v>E</v>
      </c>
      <c r="C313" s="79" t="str">
        <f ca="1" xml:space="preserve"> "/\" &amp;RANDBETWEEN( 1,120) &amp; "/\" &amp;RANDBETWEEN( 1,120) &amp; "/\" &amp;1 &amp; "/\" &amp; A310</f>
        <v>/\84/\91/\1/\18</v>
      </c>
      <c r="D313" s="80" t="s">
        <v>2370</v>
      </c>
    </row>
    <row r="314" spans="1:5" ht="16" thickTop="1" x14ac:dyDescent="0.35">
      <c r="B314" s="81">
        <f ca="1">[1]!stdnum_A($C$313)</f>
        <v>16</v>
      </c>
      <c r="C314" s="82"/>
      <c r="D314" s="77"/>
    </row>
    <row r="315" spans="1:5" x14ac:dyDescent="0.35">
      <c r="B315" s="81">
        <f ca="1">[1]!stdnum_B($C$313)</f>
        <v>19</v>
      </c>
      <c r="C315" s="82"/>
      <c r="D315" s="77"/>
    </row>
    <row r="316" spans="1:5" x14ac:dyDescent="0.35">
      <c r="B316" s="81">
        <f ca="1">[1]!stdnum_C($C$313)</f>
        <v>17</v>
      </c>
      <c r="C316" s="82"/>
      <c r="D316" s="77"/>
    </row>
    <row r="317" spans="1:5" x14ac:dyDescent="0.35">
      <c r="B317" s="81">
        <f ca="1">[1]!stdnum_D($C$313)</f>
        <v>15</v>
      </c>
      <c r="C317" s="82"/>
      <c r="D317" s="77"/>
    </row>
    <row r="318" spans="1:5" ht="16" thickBot="1" x14ac:dyDescent="0.4">
      <c r="B318" s="83">
        <f ca="1">[1]!stdnum_E($C$313)</f>
        <v>18</v>
      </c>
      <c r="C318" s="84"/>
      <c r="D318" s="78"/>
    </row>
    <row r="319" spans="1:5" ht="16" thickTop="1" x14ac:dyDescent="0.35"/>
    <row r="321" spans="1:5" x14ac:dyDescent="0.35">
      <c r="A321" s="120" t="s">
        <v>2268</v>
      </c>
    </row>
    <row r="322" spans="1:5" x14ac:dyDescent="0.35">
      <c r="A322" s="8">
        <f ca="1">RANDBETWEEN(300,800)*50</f>
        <v>16800</v>
      </c>
      <c r="B322" s="2" t="s">
        <v>596</v>
      </c>
      <c r="D322" s="24">
        <f ca="1">A322*(1+A324)^(A323-1)</f>
        <v>28020.54385121015</v>
      </c>
      <c r="E322" s="2" t="s">
        <v>3455</v>
      </c>
    </row>
    <row r="323" spans="1:5" x14ac:dyDescent="0.35">
      <c r="A323" s="265">
        <f ca="1">RANDBETWEEN(7,20)</f>
        <v>7</v>
      </c>
      <c r="B323" s="2" t="s">
        <v>597</v>
      </c>
      <c r="D323" s="24">
        <f ca="1">ROUND(A324*D322,-1)</f>
        <v>2490</v>
      </c>
      <c r="E323" s="2" t="s">
        <v>2144</v>
      </c>
    </row>
    <row r="324" spans="1:5" x14ac:dyDescent="0.35">
      <c r="A324" s="14">
        <f ca="1">RANDBETWEEN(50,120)/1000</f>
        <v>8.8999999999999996E-2</v>
      </c>
      <c r="B324" s="2" t="s">
        <v>985</v>
      </c>
      <c r="D324" s="232"/>
    </row>
    <row r="325" spans="1:5" ht="16" thickBot="1" x14ac:dyDescent="0.4"/>
    <row r="326" spans="1:5" ht="16.5" thickTop="1" thickBot="1" x14ac:dyDescent="0.4">
      <c r="B326" s="76" t="str">
        <f ca="1">[1]!std_ans($C$326)</f>
        <v>C</v>
      </c>
      <c r="C326" s="79" t="str">
        <f ca="1" xml:space="preserve"> "/\" &amp;RANDBETWEEN( 1,120) &amp; "/\" &amp;RANDBETWEEN( 1,120) &amp; "/\" &amp;1 &amp; "/\" &amp; A323</f>
        <v>/\62/\94/\1/\7</v>
      </c>
      <c r="D326" s="80" t="s">
        <v>2269</v>
      </c>
    </row>
    <row r="327" spans="1:5" ht="16" thickTop="1" x14ac:dyDescent="0.35">
      <c r="B327" s="81">
        <f ca="1">[1]!stdnum_A($C$326)</f>
        <v>5</v>
      </c>
      <c r="C327" s="82"/>
      <c r="D327" s="77"/>
    </row>
    <row r="328" spans="1:5" x14ac:dyDescent="0.35">
      <c r="B328" s="81">
        <f ca="1">[1]!stdnum_B($C$326)</f>
        <v>6</v>
      </c>
      <c r="C328" s="82"/>
      <c r="D328" s="77"/>
    </row>
    <row r="329" spans="1:5" x14ac:dyDescent="0.35">
      <c r="B329" s="81">
        <f ca="1">[1]!stdnum_C($C$326)</f>
        <v>7</v>
      </c>
      <c r="C329" s="82"/>
      <c r="D329" s="77"/>
    </row>
    <row r="330" spans="1:5" x14ac:dyDescent="0.35">
      <c r="B330" s="81">
        <f ca="1">[1]!stdnum_D($C$326)</f>
        <v>4</v>
      </c>
      <c r="C330" s="82"/>
      <c r="D330" s="77"/>
    </row>
    <row r="331" spans="1:5" ht="16" thickBot="1" x14ac:dyDescent="0.4">
      <c r="B331" s="83">
        <f ca="1">[1]!stdnum_E($C$326)</f>
        <v>8</v>
      </c>
      <c r="C331" s="84"/>
      <c r="D331" s="78"/>
    </row>
    <row r="332" spans="1:5" ht="16" thickTop="1" x14ac:dyDescent="0.35"/>
    <row r="334" spans="1:5" x14ac:dyDescent="0.35">
      <c r="A334" s="88" t="s">
        <v>3634</v>
      </c>
    </row>
    <row r="335" spans="1:5" x14ac:dyDescent="0.35">
      <c r="A335" s="8">
        <f ca="1">RANDBETWEEN(300,800)*200</f>
        <v>137400</v>
      </c>
      <c r="B335" s="2" t="s">
        <v>596</v>
      </c>
      <c r="D335" s="24">
        <f ca="1">A335*(1+A337)^A336</f>
        <v>279387.57630333217</v>
      </c>
      <c r="E335" s="2" t="s">
        <v>909</v>
      </c>
    </row>
    <row r="336" spans="1:5" x14ac:dyDescent="0.35">
      <c r="A336" s="265">
        <f ca="1">RANDBETWEEN(7,20)</f>
        <v>14</v>
      </c>
      <c r="B336" s="2" t="s">
        <v>597</v>
      </c>
      <c r="D336" s="24">
        <f ca="1">D335-A335</f>
        <v>141987.57630333217</v>
      </c>
      <c r="E336" s="2" t="s">
        <v>2145</v>
      </c>
    </row>
    <row r="337" spans="1:5" x14ac:dyDescent="0.35">
      <c r="A337" s="14">
        <f ca="1">RANDBETWEEN(50,90)/1000</f>
        <v>5.1999999999999998E-2</v>
      </c>
      <c r="B337" s="2" t="s">
        <v>985</v>
      </c>
      <c r="D337" s="232"/>
    </row>
    <row r="338" spans="1:5" ht="16" thickBot="1" x14ac:dyDescent="0.4"/>
    <row r="339" spans="1:5" ht="16.5" thickTop="1" thickBot="1" x14ac:dyDescent="0.4">
      <c r="B339" s="76" t="str">
        <f ca="1">[1]!std_ans($C$339)</f>
        <v>A</v>
      </c>
      <c r="C339" s="79" t="str">
        <f ca="1" xml:space="preserve"> "/\" &amp;RANDBETWEEN( 1,120) &amp; "/\" &amp;RANDBETWEEN( 1,120) &amp; "/\" &amp;1 &amp; "/\" &amp; A336</f>
        <v>/\1/\33/\1/\14</v>
      </c>
      <c r="D339" s="80" t="s">
        <v>3635</v>
      </c>
    </row>
    <row r="340" spans="1:5" ht="16" thickTop="1" x14ac:dyDescent="0.35">
      <c r="B340" s="81">
        <f ca="1">[1]!stdnum_A($C$339)</f>
        <v>14</v>
      </c>
      <c r="C340" s="82"/>
      <c r="D340" s="77"/>
    </row>
    <row r="341" spans="1:5" x14ac:dyDescent="0.35">
      <c r="B341" s="81">
        <f ca="1">[1]!stdnum_B($C$339)</f>
        <v>15</v>
      </c>
      <c r="C341" s="82"/>
      <c r="D341" s="77"/>
    </row>
    <row r="342" spans="1:5" x14ac:dyDescent="0.35">
      <c r="B342" s="81">
        <f ca="1">[1]!stdnum_C($C$339)</f>
        <v>16</v>
      </c>
      <c r="C342" s="82"/>
      <c r="D342" s="77"/>
    </row>
    <row r="343" spans="1:5" x14ac:dyDescent="0.35">
      <c r="B343" s="81">
        <f ca="1">[1]!stdnum_D($C$339)</f>
        <v>13</v>
      </c>
      <c r="C343" s="82"/>
      <c r="D343" s="77"/>
    </row>
    <row r="344" spans="1:5" ht="16" thickBot="1" x14ac:dyDescent="0.4">
      <c r="B344" s="83">
        <f ca="1">[1]!stdnum_E($C$339)</f>
        <v>17</v>
      </c>
      <c r="C344" s="84"/>
      <c r="D344" s="78"/>
    </row>
    <row r="345" spans="1:5" ht="16" thickTop="1" x14ac:dyDescent="0.35"/>
    <row r="347" spans="1:5" x14ac:dyDescent="0.35">
      <c r="A347" s="120" t="s">
        <v>3636</v>
      </c>
    </row>
    <row r="348" spans="1:5" x14ac:dyDescent="0.35">
      <c r="A348" s="8">
        <f ca="1">RANDBETWEEN(300,800)*10</f>
        <v>7670</v>
      </c>
      <c r="B348" s="2" t="s">
        <v>596</v>
      </c>
      <c r="D348" s="24">
        <f ca="1">A348*(1+A350)^(A349)</f>
        <v>12858.826836937005</v>
      </c>
      <c r="E348" s="2" t="s">
        <v>3455</v>
      </c>
    </row>
    <row r="349" spans="1:5" x14ac:dyDescent="0.35">
      <c r="A349" s="265">
        <f ca="1">RANDBETWEEN(4,14)</f>
        <v>12</v>
      </c>
      <c r="B349" s="2" t="s">
        <v>597</v>
      </c>
      <c r="D349" s="24"/>
    </row>
    <row r="350" spans="1:5" x14ac:dyDescent="0.35">
      <c r="A350" s="14">
        <f ca="1">RANDBETWEEN(40,100)/1000</f>
        <v>4.3999999999999997E-2</v>
      </c>
      <c r="B350" s="2" t="s">
        <v>985</v>
      </c>
      <c r="D350" s="232"/>
    </row>
    <row r="351" spans="1:5" ht="16" thickBot="1" x14ac:dyDescent="0.4"/>
    <row r="352" spans="1:5" ht="16.5" thickTop="1" thickBot="1" x14ac:dyDescent="0.4">
      <c r="B352" s="76" t="str">
        <f ca="1">[1]!std_ans($C$352)</f>
        <v>C</v>
      </c>
      <c r="C352" s="79" t="str">
        <f ca="1" xml:space="preserve"> "/\" &amp;RANDBETWEEN( 1,120) &amp; "/\" &amp;RANDBETWEEN( 1,120) &amp; "/\" &amp;0.1 &amp; "/\" &amp; A350</f>
        <v>/\32/\37/\0.1/\0.044</v>
      </c>
      <c r="D352" s="80" t="s">
        <v>3637</v>
      </c>
    </row>
    <row r="353" spans="1:5" ht="16" thickTop="1" x14ac:dyDescent="0.35">
      <c r="B353" s="134">
        <f ca="1">[1]!stdnum_A($C$352)</f>
        <v>5.3240000000000003E-2</v>
      </c>
      <c r="C353" s="82"/>
      <c r="D353" s="77"/>
    </row>
    <row r="354" spans="1:5" x14ac:dyDescent="0.35">
      <c r="B354" s="134">
        <f ca="1">[1]!stdnum_B($C$352)</f>
        <v>3.9999999999999994E-2</v>
      </c>
      <c r="C354" s="82"/>
      <c r="D354" s="77"/>
    </row>
    <row r="355" spans="1:5" x14ac:dyDescent="0.35">
      <c r="B355" s="134">
        <f ca="1">[1]!stdnum_C($C$352)</f>
        <v>4.3999999999999997E-2</v>
      </c>
      <c r="C355" s="82"/>
      <c r="D355" s="77"/>
    </row>
    <row r="356" spans="1:5" x14ac:dyDescent="0.35">
      <c r="B356" s="134">
        <f ca="1">[1]!stdnum_D($C$352)</f>
        <v>5.8564000000000012E-2</v>
      </c>
      <c r="C356" s="82"/>
      <c r="D356" s="77"/>
    </row>
    <row r="357" spans="1:5" ht="16" thickBot="1" x14ac:dyDescent="0.4">
      <c r="B357" s="135">
        <f ca="1">[1]!stdnum_E($C$352)</f>
        <v>4.8399999999999999E-2</v>
      </c>
      <c r="C357" s="84"/>
      <c r="D357" s="78"/>
    </row>
    <row r="358" spans="1:5" ht="16" thickTop="1" x14ac:dyDescent="0.35"/>
    <row r="360" spans="1:5" x14ac:dyDescent="0.35">
      <c r="A360" s="120" t="s">
        <v>1364</v>
      </c>
    </row>
    <row r="361" spans="1:5" x14ac:dyDescent="0.35">
      <c r="A361" s="8">
        <f ca="1">RANDBETWEEN(300,800)*20</f>
        <v>12540</v>
      </c>
      <c r="B361" s="2" t="s">
        <v>596</v>
      </c>
      <c r="D361" s="24">
        <f ca="1">ROUND(A361*(1+A363)^(A362),-1)</f>
        <v>35360</v>
      </c>
      <c r="E361" s="2" t="s">
        <v>909</v>
      </c>
    </row>
    <row r="362" spans="1:5" x14ac:dyDescent="0.35">
      <c r="A362" s="265">
        <f ca="1">RANDBETWEEN(4,14)</f>
        <v>13</v>
      </c>
      <c r="B362" s="2" t="s">
        <v>597</v>
      </c>
      <c r="D362" s="24"/>
    </row>
    <row r="363" spans="1:5" x14ac:dyDescent="0.35">
      <c r="A363" s="14">
        <f ca="1">RANDBETWEEN(40,100)/1000</f>
        <v>8.3000000000000004E-2</v>
      </c>
      <c r="B363" s="2" t="s">
        <v>985</v>
      </c>
      <c r="D363" s="232"/>
    </row>
    <row r="364" spans="1:5" ht="16" thickBot="1" x14ac:dyDescent="0.4"/>
    <row r="365" spans="1:5" ht="16.5" thickTop="1" thickBot="1" x14ac:dyDescent="0.4">
      <c r="B365" s="76" t="str">
        <f ca="1">[1]!std_ans($C$365)</f>
        <v>A</v>
      </c>
      <c r="C365" s="79" t="str">
        <f ca="1" xml:space="preserve"> "/\" &amp;RANDBETWEEN( 1,120) &amp; "/\" &amp;RANDBETWEEN( 1,120) &amp; "/\" &amp;0.1 &amp; "/\" &amp; A363</f>
        <v>/\4/\41/\0.1/\0.083</v>
      </c>
      <c r="D365" s="80" t="s">
        <v>1365</v>
      </c>
    </row>
    <row r="366" spans="1:5" ht="16" thickTop="1" x14ac:dyDescent="0.35">
      <c r="B366" s="134">
        <f ca="1">[1]!stdnum_A($C$365)</f>
        <v>8.3000000000000004E-2</v>
      </c>
      <c r="C366" s="82"/>
      <c r="D366" s="77"/>
    </row>
    <row r="367" spans="1:5" x14ac:dyDescent="0.35">
      <c r="B367" s="134">
        <f ca="1">[1]!stdnum_B($C$365)</f>
        <v>0.10043000000000002</v>
      </c>
      <c r="C367" s="82"/>
      <c r="D367" s="77"/>
    </row>
    <row r="368" spans="1:5" x14ac:dyDescent="0.35">
      <c r="B368" s="134">
        <f ca="1">[1]!stdnum_C($C$365)</f>
        <v>7.5454545454545455E-2</v>
      </c>
      <c r="C368" s="82"/>
      <c r="D368" s="77"/>
    </row>
    <row r="369" spans="1:5" x14ac:dyDescent="0.35">
      <c r="B369" s="134">
        <f ca="1">[1]!stdnum_D($C$365)</f>
        <v>9.1300000000000006E-2</v>
      </c>
      <c r="C369" s="82"/>
      <c r="D369" s="77"/>
    </row>
    <row r="370" spans="1:5" ht="16" thickBot="1" x14ac:dyDescent="0.4">
      <c r="B370" s="135">
        <f ca="1">[1]!stdnum_E($C$365)</f>
        <v>0.11047300000000004</v>
      </c>
      <c r="C370" s="84"/>
      <c r="D370" s="78"/>
    </row>
    <row r="371" spans="1:5" ht="16" thickTop="1" x14ac:dyDescent="0.35"/>
    <row r="373" spans="1:5" x14ac:dyDescent="0.35">
      <c r="A373" s="120" t="s">
        <v>1366</v>
      </c>
    </row>
    <row r="374" spans="1:5" x14ac:dyDescent="0.35">
      <c r="A374" s="8">
        <f ca="1">RANDBETWEEN(300,800)*20</f>
        <v>10800</v>
      </c>
      <c r="B374" s="2" t="s">
        <v>596</v>
      </c>
      <c r="D374" s="24">
        <f ca="1">ROUND(A374*(1+A376)^(A375),-1)</f>
        <v>41830</v>
      </c>
      <c r="E374" s="2" t="s">
        <v>909</v>
      </c>
    </row>
    <row r="375" spans="1:5" x14ac:dyDescent="0.35">
      <c r="A375" s="265">
        <f ca="1">RANDBETWEEN(4,14)</f>
        <v>10</v>
      </c>
      <c r="B375" s="2" t="s">
        <v>597</v>
      </c>
      <c r="D375" s="24"/>
    </row>
    <row r="376" spans="1:5" x14ac:dyDescent="0.35">
      <c r="A376" s="14">
        <f ca="1">RANDBETWEEN(40,300)/1000</f>
        <v>0.14499999999999999</v>
      </c>
      <c r="B376" s="2" t="s">
        <v>985</v>
      </c>
      <c r="D376" s="232"/>
    </row>
    <row r="377" spans="1:5" ht="16" thickBot="1" x14ac:dyDescent="0.4"/>
    <row r="378" spans="1:5" ht="16.5" thickTop="1" thickBot="1" x14ac:dyDescent="0.4">
      <c r="B378" s="76" t="str">
        <f ca="1">[1]!std_ans($C$378)</f>
        <v>C</v>
      </c>
      <c r="C378" s="79" t="str">
        <f ca="1" xml:space="preserve"> "/\" &amp;RANDBETWEEN( 1,120) &amp; "/\" &amp;RANDBETWEEN( 1,120) &amp; "/\" &amp;0.1 &amp; "/\" &amp; A376</f>
        <v>/\109/\79/\0.1/\0.145</v>
      </c>
      <c r="D378" s="80" t="s">
        <v>1367</v>
      </c>
    </row>
    <row r="379" spans="1:5" ht="16" thickTop="1" x14ac:dyDescent="0.35">
      <c r="B379" s="134">
        <f ca="1">[1]!stdnum_A($C$378)</f>
        <v>0.1595</v>
      </c>
      <c r="C379" s="82"/>
      <c r="D379" s="77"/>
    </row>
    <row r="380" spans="1:5" x14ac:dyDescent="0.35">
      <c r="B380" s="134">
        <f ca="1">[1]!stdnum_B($C$378)</f>
        <v>0.10894064613072874</v>
      </c>
      <c r="C380" s="82"/>
      <c r="D380" s="77"/>
    </row>
    <row r="381" spans="1:5" x14ac:dyDescent="0.35">
      <c r="B381" s="134">
        <f ca="1">[1]!stdnum_C($C$378)</f>
        <v>0.14499999999999999</v>
      </c>
      <c r="C381" s="82"/>
      <c r="D381" s="77"/>
    </row>
    <row r="382" spans="1:5" x14ac:dyDescent="0.35">
      <c r="B382" s="134">
        <f ca="1">[1]!stdnum_D($C$378)</f>
        <v>0.11983471074380163</v>
      </c>
      <c r="C382" s="82"/>
      <c r="D382" s="77"/>
    </row>
    <row r="383" spans="1:5" ht="16" thickBot="1" x14ac:dyDescent="0.4">
      <c r="B383" s="135">
        <f ca="1">[1]!stdnum_E($C$378)</f>
        <v>0.13181818181818181</v>
      </c>
      <c r="C383" s="84"/>
      <c r="D383" s="78"/>
    </row>
    <row r="384" spans="1:5" ht="16" thickTop="1" x14ac:dyDescent="0.35"/>
    <row r="386" spans="1:5" x14ac:dyDescent="0.35">
      <c r="A386" s="120" t="s">
        <v>1368</v>
      </c>
    </row>
    <row r="387" spans="1:5" x14ac:dyDescent="0.35">
      <c r="A387" s="8">
        <v>1000</v>
      </c>
      <c r="B387" s="2" t="s">
        <v>596</v>
      </c>
      <c r="D387" s="24">
        <v>2000</v>
      </c>
      <c r="E387" s="2" t="s">
        <v>909</v>
      </c>
    </row>
    <row r="388" spans="1:5" x14ac:dyDescent="0.35">
      <c r="A388" s="265">
        <f ca="1">RANDBETWEEN(6,22)</f>
        <v>12</v>
      </c>
      <c r="B388" s="2" t="s">
        <v>597</v>
      </c>
      <c r="D388" s="24"/>
    </row>
    <row r="389" spans="1:5" x14ac:dyDescent="0.35">
      <c r="A389" s="14">
        <f ca="1">(D387/A387)^(1/A388)-1</f>
        <v>5.946309435929531E-2</v>
      </c>
      <c r="B389" s="2" t="s">
        <v>985</v>
      </c>
      <c r="D389" s="232"/>
    </row>
    <row r="390" spans="1:5" ht="16" thickBot="1" x14ac:dyDescent="0.4"/>
    <row r="391" spans="1:5" ht="16.5" thickTop="1" thickBot="1" x14ac:dyDescent="0.4">
      <c r="B391" s="76" t="str">
        <f ca="1">[1]!std_ans($C$391)</f>
        <v>A</v>
      </c>
      <c r="C391" s="79" t="str">
        <f ca="1" xml:space="preserve"> "/\" &amp;RANDBETWEEN( 1,120) &amp; "/\" &amp;RANDBETWEEN( 1,120) &amp; "/\" &amp;0.1 &amp; "/\" &amp; A389</f>
        <v>/\7/\54/\0.1/\0.0594630943592953</v>
      </c>
      <c r="D391" s="80" t="s">
        <v>1369</v>
      </c>
    </row>
    <row r="392" spans="1:5" ht="16" thickTop="1" x14ac:dyDescent="0.35">
      <c r="B392" s="134">
        <f ca="1">[1]!stdnum_A($C$391)</f>
        <v>5.9463094359295303E-2</v>
      </c>
      <c r="C392" s="82"/>
      <c r="D392" s="77"/>
    </row>
    <row r="393" spans="1:5" x14ac:dyDescent="0.35">
      <c r="B393" s="134">
        <f ca="1">[1]!stdnum_B($C$391)</f>
        <v>7.1950344174747327E-2</v>
      </c>
      <c r="C393" s="82"/>
      <c r="D393" s="77"/>
    </row>
    <row r="394" spans="1:5" x14ac:dyDescent="0.35">
      <c r="B394" s="134">
        <f ca="1">[1]!stdnum_C($C$391)</f>
        <v>4.9143053189500248E-2</v>
      </c>
      <c r="C394" s="82"/>
      <c r="D394" s="77"/>
    </row>
    <row r="395" spans="1:5" x14ac:dyDescent="0.35">
      <c r="B395" s="134">
        <f ca="1">[1]!stdnum_D($C$391)</f>
        <v>6.5409403795224835E-2</v>
      </c>
      <c r="C395" s="82"/>
      <c r="D395" s="77"/>
    </row>
    <row r="396" spans="1:5" ht="16" thickBot="1" x14ac:dyDescent="0.4">
      <c r="B396" s="135">
        <f ca="1">[1]!stdnum_E($C$391)</f>
        <v>5.4057358508450275E-2</v>
      </c>
      <c r="C396" s="84"/>
      <c r="D396" s="78"/>
    </row>
    <row r="397" spans="1:5" ht="16" thickTop="1" x14ac:dyDescent="0.35"/>
    <row r="399" spans="1:5" x14ac:dyDescent="0.35">
      <c r="A399" s="120" t="s">
        <v>1396</v>
      </c>
    </row>
    <row r="400" spans="1:5" x14ac:dyDescent="0.35">
      <c r="A400" s="8">
        <f ca="1">RANDBETWEEN(20,90)*100</f>
        <v>7200</v>
      </c>
      <c r="B400" s="2" t="s">
        <v>909</v>
      </c>
    </row>
    <row r="401" spans="1:15" x14ac:dyDescent="0.35">
      <c r="A401" s="14">
        <f ca="1">RANDBETWEEN(60,120)/1000</f>
        <v>8.7999999999999995E-2</v>
      </c>
      <c r="B401" s="2" t="s">
        <v>985</v>
      </c>
    </row>
    <row r="402" spans="1:15" x14ac:dyDescent="0.35">
      <c r="A402" s="8">
        <f ca="1">A400*A401/(1+A401)</f>
        <v>582.35294117647049</v>
      </c>
      <c r="B402" s="2" t="s">
        <v>2881</v>
      </c>
    </row>
    <row r="403" spans="1:15" ht="16" thickBot="1" x14ac:dyDescent="0.4"/>
    <row r="404" spans="1:15" ht="16.5" thickTop="1" thickBot="1" x14ac:dyDescent="0.4">
      <c r="B404" s="76" t="str">
        <f ca="1">[1]!std_ans($C$404)</f>
        <v>D</v>
      </c>
      <c r="C404" s="79" t="str">
        <f ca="1" xml:space="preserve"> "/\" &amp;RANDBETWEEN( 1,120) &amp; "/\" &amp;RANDBETWEEN( 1,120) &amp; "/\" &amp;0.1 &amp; "/\" &amp; A401</f>
        <v>/\69/\113/\0.1/\0.088</v>
      </c>
      <c r="D404" s="80" t="s">
        <v>1397</v>
      </c>
    </row>
    <row r="405" spans="1:15" ht="16" thickTop="1" x14ac:dyDescent="0.35">
      <c r="B405" s="134">
        <f ca="1">[1]!stdnum_A($C$404)</f>
        <v>7.9999999999999988E-2</v>
      </c>
      <c r="C405" s="82"/>
      <c r="D405" s="77"/>
    </row>
    <row r="406" spans="1:15" x14ac:dyDescent="0.35">
      <c r="B406" s="134">
        <f ca="1">[1]!stdnum_B($C$404)</f>
        <v>6.6115702479338817E-2</v>
      </c>
      <c r="C406" s="82"/>
      <c r="D406" s="77"/>
    </row>
    <row r="407" spans="1:15" x14ac:dyDescent="0.35">
      <c r="B407" s="134">
        <f ca="1">[1]!stdnum_C($C$404)</f>
        <v>7.272727272727271E-2</v>
      </c>
      <c r="C407" s="82"/>
      <c r="D407" s="77"/>
    </row>
    <row r="408" spans="1:15" x14ac:dyDescent="0.35">
      <c r="B408" s="134">
        <f ca="1">[1]!stdnum_D($C$404)</f>
        <v>8.7999999999999995E-2</v>
      </c>
      <c r="C408" s="82"/>
      <c r="D408" s="77"/>
    </row>
    <row r="409" spans="1:15" ht="16" thickBot="1" x14ac:dyDescent="0.4">
      <c r="B409" s="135">
        <f ca="1">[1]!stdnum_E($C$404)</f>
        <v>6.01051840721262E-2</v>
      </c>
      <c r="C409" s="84"/>
      <c r="D409" s="78"/>
    </row>
    <row r="410" spans="1:15" ht="16" thickTop="1" x14ac:dyDescent="0.35"/>
    <row r="412" spans="1:15" x14ac:dyDescent="0.35">
      <c r="A412" s="88" t="s">
        <v>1401</v>
      </c>
    </row>
    <row r="413" spans="1:15" x14ac:dyDescent="0.35">
      <c r="J413" s="22" t="s">
        <v>2390</v>
      </c>
    </row>
    <row r="414" spans="1:15" x14ac:dyDescent="0.35">
      <c r="A414" s="8">
        <f ca="1">RANDBETWEEN(300,800)*20</f>
        <v>8120</v>
      </c>
      <c r="B414" s="2" t="s">
        <v>2526</v>
      </c>
      <c r="D414" s="24">
        <f ca="1">A414*(1+A416)^(-A415)</f>
        <v>6473.3083044864134</v>
      </c>
      <c r="E414" s="2" t="s">
        <v>596</v>
      </c>
      <c r="G414" s="24">
        <f ca="1">D414*(1+D416)^A415</f>
        <v>7602.7102652080212</v>
      </c>
      <c r="H414" s="2" t="s">
        <v>2586</v>
      </c>
      <c r="J414" s="10">
        <f ca="1">G415</f>
        <v>517.28973479197884</v>
      </c>
      <c r="K414" s="2" t="s">
        <v>225</v>
      </c>
      <c r="N414" s="269">
        <f ca="1">ABS(J417-A416)*10000</f>
        <v>32.948148544256313</v>
      </c>
      <c r="O414" s="2" t="s">
        <v>2585</v>
      </c>
    </row>
    <row r="415" spans="1:15" x14ac:dyDescent="0.35">
      <c r="A415" s="265">
        <f ca="1">RANDBETWEEN(8,24)</f>
        <v>19</v>
      </c>
      <c r="B415" s="2" t="s">
        <v>597</v>
      </c>
      <c r="D415" s="265">
        <f ca="1">RANDBETWEEN(3,7)*5</f>
        <v>35</v>
      </c>
      <c r="E415" s="2" t="s">
        <v>361</v>
      </c>
      <c r="G415" s="10">
        <f ca="1">A414-G414</f>
        <v>517.28973479197884</v>
      </c>
      <c r="H415" s="2" t="s">
        <v>2529</v>
      </c>
      <c r="J415" s="6" t="str">
        <f ca="1">IF(sign2&gt;0,"more","less")</f>
        <v>more</v>
      </c>
      <c r="K415" s="2" t="s">
        <v>11</v>
      </c>
      <c r="N415" s="2" t="str">
        <f ca="1">IF(sign2&gt;0,"more","less")</f>
        <v>more</v>
      </c>
      <c r="O415" s="2" t="s">
        <v>1398</v>
      </c>
    </row>
    <row r="416" spans="1:15" x14ac:dyDescent="0.35">
      <c r="A416" s="29">
        <f ca="1">RANDBETWEEN(60,140)/10000</f>
        <v>1.2E-2</v>
      </c>
      <c r="B416" s="2" t="s">
        <v>985</v>
      </c>
      <c r="D416" s="29">
        <f ca="1">A416-D415/10000</f>
        <v>8.5000000000000006E-3</v>
      </c>
      <c r="E416" s="2" t="s">
        <v>2291</v>
      </c>
      <c r="J416" s="10">
        <f ca="1">A414+sign2*G415</f>
        <v>8637.2897347919788</v>
      </c>
      <c r="K416" s="2" t="s">
        <v>2528</v>
      </c>
      <c r="N416" s="2" t="str">
        <f ca="1">IF(sign2&lt;0,"more","less")</f>
        <v>less</v>
      </c>
      <c r="O416" s="2" t="s">
        <v>1399</v>
      </c>
    </row>
    <row r="417" spans="1:12" x14ac:dyDescent="0.35">
      <c r="D417" s="29"/>
      <c r="J417" s="29">
        <f ca="1">(J416/D414)^(1/A415)-1</f>
        <v>1.5294814854425631E-2</v>
      </c>
      <c r="K417" s="2" t="s">
        <v>2527</v>
      </c>
    </row>
    <row r="418" spans="1:12" x14ac:dyDescent="0.35">
      <c r="D418" s="29"/>
    </row>
    <row r="419" spans="1:12" ht="16" thickBot="1" x14ac:dyDescent="0.4">
      <c r="B419" s="120" t="s">
        <v>1400</v>
      </c>
      <c r="F419" s="120" t="s">
        <v>1403</v>
      </c>
      <c r="J419" s="120" t="s">
        <v>1405</v>
      </c>
    </row>
    <row r="420" spans="1:12" ht="16.5" thickTop="1" thickBot="1" x14ac:dyDescent="0.4">
      <c r="B420" s="76" t="str">
        <f ca="1">[1]!std_ans($C$420)</f>
        <v>A</v>
      </c>
      <c r="C420" s="79" t="str">
        <f ca="1" xml:space="preserve"> "/\" &amp;RANDBETWEEN( 1,120) &amp; "/\" &amp;RANDBETWEEN( 1,120) &amp; "/\" &amp;0.1 &amp; "/\" &amp; G415</f>
        <v>/\21/\45/\0.1/\517.289734791979</v>
      </c>
      <c r="D420" s="80" t="s">
        <v>1402</v>
      </c>
      <c r="F420" s="76" t="str">
        <f ca="1">[1]!std_ans($G$420)</f>
        <v>C</v>
      </c>
      <c r="G420" s="79" t="str">
        <f ca="1" xml:space="preserve"> "/\" &amp;RANDBETWEEN( 1,120) &amp; "/\" &amp;RANDBETWEEN( 1,120) &amp; "/\" &amp;0.1 &amp; "/\" &amp; D416</f>
        <v>/\43/\3/\0.1/\0.0085</v>
      </c>
      <c r="H420" s="80" t="s">
        <v>1404</v>
      </c>
      <c r="J420" s="76" t="str">
        <f ca="1">[1]!alpha_ans($K$420)</f>
        <v>B</v>
      </c>
      <c r="K420" s="79" t="str">
        <f ca="1" xml:space="preserve"> "/\" &amp;RANDBETWEEN( 1,5) &amp; "/\" &amp;RANDBETWEEN( 1,120) &amp; "/\" &amp;RANDBETWEEN( 1,6) &amp; "/\" &amp;RANDBETWEEN( 1,2) &amp; "/\" &amp; N414 &amp; "/\" &amp; "Mask" &amp; "/\" &amp; "Mask" &amp; "/\" &amp; N415 &amp; "/\" &amp; N416</f>
        <v>/\2/\48/\1/\1/\32.9481485442563/\Mask/\Mask/\more/\less</v>
      </c>
      <c r="L420" s="80" t="s">
        <v>1406</v>
      </c>
    </row>
    <row r="421" spans="1:12" ht="16" thickTop="1" x14ac:dyDescent="0.35">
      <c r="B421" s="110">
        <f ca="1">[1]!stdnum_A($C$420)</f>
        <v>517.28973479197896</v>
      </c>
      <c r="C421" s="82"/>
      <c r="D421" s="77"/>
      <c r="F421" s="134">
        <f ca="1">[1]!stdnum_A($G$420)</f>
        <v>9.3500000000000007E-3</v>
      </c>
      <c r="G421" s="82"/>
      <c r="H421" s="77"/>
      <c r="J421" s="81">
        <f ca="1">[1]!onepair_A($K$420)</f>
        <v>37.890370825894699</v>
      </c>
      <c r="K421" s="82" t="str">
        <f ca="1">[1]!onepair_A2($K$420)</f>
        <v>more</v>
      </c>
      <c r="L421" s="77"/>
    </row>
    <row r="422" spans="1:12" x14ac:dyDescent="0.35">
      <c r="B422" s="110">
        <f ca="1">[1]!stdnum_B($C$420)</f>
        <v>625.92057909829464</v>
      </c>
      <c r="C422" s="82"/>
      <c r="D422" s="77"/>
      <c r="F422" s="134">
        <f ca="1">[1]!stdnum_B($G$420)</f>
        <v>1.2444850000000004E-2</v>
      </c>
      <c r="G422" s="82"/>
      <c r="H422" s="77"/>
      <c r="J422" s="81">
        <f ca="1">[1]!onepair_B($K$420)</f>
        <v>32.948148544256298</v>
      </c>
      <c r="K422" s="82" t="str">
        <f ca="1">[1]!onepair_B2($K$420)</f>
        <v>more</v>
      </c>
      <c r="L422" s="77"/>
    </row>
    <row r="423" spans="1:12" x14ac:dyDescent="0.35">
      <c r="B423" s="110">
        <f ca="1">[1]!stdnum_C($C$420)</f>
        <v>569.01870827117693</v>
      </c>
      <c r="C423" s="82"/>
      <c r="D423" s="77"/>
      <c r="F423" s="134">
        <f ca="1">[1]!stdnum_C($G$420)</f>
        <v>8.5000000000000006E-3</v>
      </c>
      <c r="G423" s="82"/>
      <c r="H423" s="77"/>
      <c r="J423" s="81">
        <f ca="1">[1]!onepair_C($K$420)</f>
        <v>43.573926449778902</v>
      </c>
      <c r="K423" s="82" t="str">
        <f ca="1">[1]!onepair_C2($K$420)</f>
        <v>more</v>
      </c>
      <c r="L423" s="77"/>
    </row>
    <row r="424" spans="1:12" x14ac:dyDescent="0.35">
      <c r="B424" s="110">
        <f ca="1">[1]!stdnum_D($C$420)</f>
        <v>688.51263700812422</v>
      </c>
      <c r="C424" s="82"/>
      <c r="D424" s="77"/>
      <c r="F424" s="134">
        <f ca="1">[1]!stdnum_D($G$420)</f>
        <v>1.1313500000000004E-2</v>
      </c>
      <c r="G424" s="82"/>
      <c r="H424" s="77"/>
      <c r="J424" s="81">
        <f ca="1">[1]!onepair_D($K$420)</f>
        <v>37.890370825894699</v>
      </c>
      <c r="K424" s="82" t="str">
        <f ca="1">[1]!onepair_D2($K$420)</f>
        <v>less</v>
      </c>
      <c r="L424" s="77"/>
    </row>
    <row r="425" spans="1:12" ht="16" thickBot="1" x14ac:dyDescent="0.4">
      <c r="B425" s="111">
        <f ca="1">[1]!stdnum_E($C$420)</f>
        <v>470.26339526543541</v>
      </c>
      <c r="C425" s="84"/>
      <c r="D425" s="78"/>
      <c r="F425" s="135">
        <f ca="1">[1]!stdnum_E($G$420)</f>
        <v>1.0285000000000002E-2</v>
      </c>
      <c r="G425" s="84"/>
      <c r="H425" s="78"/>
      <c r="J425" s="83">
        <f ca="1">[1]!onepair_E($K$420)</f>
        <v>32.948148544256298</v>
      </c>
      <c r="K425" s="84" t="str">
        <f ca="1">[1]!onepair_E2($K$420)</f>
        <v>less</v>
      </c>
      <c r="L425" s="78"/>
    </row>
    <row r="426" spans="1:12" ht="16" thickTop="1" x14ac:dyDescent="0.35"/>
    <row r="428" spans="1:12" x14ac:dyDescent="0.35">
      <c r="A428" s="88" t="s">
        <v>1408</v>
      </c>
    </row>
    <row r="429" spans="1:12" x14ac:dyDescent="0.35">
      <c r="A429" s="8">
        <f ca="1">RANDBETWEEN(300,800)*10</f>
        <v>6190</v>
      </c>
      <c r="B429" s="2" t="s">
        <v>2526</v>
      </c>
      <c r="D429" s="24">
        <f ca="1">A429*(1+A431)^(-A430)</f>
        <v>5209.1331440155291</v>
      </c>
      <c r="E429" s="2" t="s">
        <v>596</v>
      </c>
      <c r="G429" s="24">
        <f ca="1">D429*(1+D431)^A430</f>
        <v>6575.8869004516519</v>
      </c>
      <c r="H429" s="2" t="s">
        <v>2528</v>
      </c>
    </row>
    <row r="430" spans="1:12" x14ac:dyDescent="0.35">
      <c r="A430" s="265">
        <f ca="1">RANDBETWEEN(8,24)</f>
        <v>17</v>
      </c>
      <c r="B430" s="2" t="s">
        <v>597</v>
      </c>
      <c r="D430" s="265">
        <f ca="1">sign4*RANDBETWEEN(4,10)*4</f>
        <v>36</v>
      </c>
      <c r="E430" s="2" t="s">
        <v>2882</v>
      </c>
      <c r="F430" s="2" t="str">
        <f ca="1">IF(sign4&gt;0,"bigger","smaller")</f>
        <v>bigger</v>
      </c>
      <c r="G430" s="10">
        <f ca="1">A429-G429</f>
        <v>-385.88690045165185</v>
      </c>
      <c r="H430" s="2" t="s">
        <v>2529</v>
      </c>
    </row>
    <row r="431" spans="1:12" x14ac:dyDescent="0.35">
      <c r="A431" s="29">
        <f ca="1">RANDBETWEEN(60,140)/10000</f>
        <v>1.0200000000000001E-2</v>
      </c>
      <c r="B431" s="2" t="s">
        <v>985</v>
      </c>
      <c r="D431" s="29">
        <f ca="1">A431+D430/10000</f>
        <v>1.38E-2</v>
      </c>
      <c r="E431" s="2" t="s">
        <v>2527</v>
      </c>
      <c r="F431" s="2" t="str">
        <f ca="1">IF(sign4&lt;0,"bigger","smaller")</f>
        <v>smaller</v>
      </c>
    </row>
    <row r="433" spans="1:13" ht="16" thickBot="1" x14ac:dyDescent="0.4">
      <c r="B433" s="120" t="s">
        <v>1407</v>
      </c>
      <c r="F433" s="88" t="s">
        <v>1410</v>
      </c>
    </row>
    <row r="434" spans="1:13" ht="16.5" thickTop="1" thickBot="1" x14ac:dyDescent="0.4">
      <c r="B434" s="76" t="str">
        <f ca="1">[1]!std_ans($C$434)</f>
        <v>E</v>
      </c>
      <c r="C434" s="79" t="str">
        <f ca="1" xml:space="preserve"> "/\" &amp;RANDBETWEEN( 1,120) &amp; "/\" &amp;RANDBETWEEN( 1,120) &amp; "/\" &amp;0.1 &amp; "/\" &amp; D431</f>
        <v>/\84/\99/\0.1/\0.0138</v>
      </c>
      <c r="D434" s="80" t="s">
        <v>1409</v>
      </c>
      <c r="F434" s="76" t="str">
        <f ca="1">[1]!alpha_ans($G$434)</f>
        <v>A</v>
      </c>
      <c r="G434" s="79" t="str">
        <f ca="1" xml:space="preserve"> "/\" &amp;RANDBETWEEN( 1,5) &amp; "/\" &amp;RANDBETWEEN( 1,120) &amp; "/\" &amp;RANDBETWEEN( 1,6) &amp; "/\" &amp;RANDBETWEEN( 1,2) &amp; "/\" &amp; ABS(D430) &amp; "/\" &amp; "Mask" &amp; "/\" &amp; "Mask" &amp; "/\" &amp; F430 &amp; "/\" &amp; F431</f>
        <v>/\1/\101/\3/\2/\36/\Mask/\Mask/\bigger/\smaller</v>
      </c>
      <c r="H434" s="80" t="s">
        <v>1411</v>
      </c>
    </row>
    <row r="435" spans="1:13" ht="16" thickTop="1" x14ac:dyDescent="0.35">
      <c r="B435" s="134">
        <f ca="1">[1]!stdnum_A($C$434)</f>
        <v>1.036814425244177E-2</v>
      </c>
      <c r="C435" s="82"/>
      <c r="D435" s="77"/>
      <c r="F435" s="74">
        <f ca="1">[1]!onepair_A($G$434)</f>
        <v>36</v>
      </c>
      <c r="G435" s="317" t="str">
        <f ca="1">[1]!onepair_A2($G$434)</f>
        <v>bigger</v>
      </c>
      <c r="H435" s="77"/>
    </row>
    <row r="436" spans="1:13" x14ac:dyDescent="0.35">
      <c r="B436" s="134">
        <f ca="1">[1]!stdnum_B($C$434)</f>
        <v>9.4255856840379723E-3</v>
      </c>
      <c r="C436" s="82"/>
      <c r="D436" s="77"/>
      <c r="F436" s="74">
        <f ca="1">[1]!onepair_B($G$434)</f>
        <v>36</v>
      </c>
      <c r="G436" s="317" t="str">
        <f ca="1">[1]!onepair_B2($G$434)</f>
        <v>smaller</v>
      </c>
      <c r="H436" s="77"/>
    </row>
    <row r="437" spans="1:13" x14ac:dyDescent="0.35">
      <c r="B437" s="134">
        <f ca="1">[1]!stdnum_C($C$434)</f>
        <v>1.2545454545454545E-2</v>
      </c>
      <c r="C437" s="82"/>
      <c r="D437" s="77"/>
      <c r="F437" s="74">
        <f ca="1">[1]!onepair_C($G$434)</f>
        <v>41.4</v>
      </c>
      <c r="G437" s="317" t="str">
        <f ca="1">[1]!onepair_C2($G$434)</f>
        <v>bigger</v>
      </c>
      <c r="H437" s="77"/>
    </row>
    <row r="438" spans="1:13" x14ac:dyDescent="0.35">
      <c r="B438" s="134">
        <f ca="1">[1]!stdnum_D($C$434)</f>
        <v>1.1404958677685949E-2</v>
      </c>
      <c r="C438" s="82"/>
      <c r="D438" s="77"/>
      <c r="F438" s="74">
        <f ca="1">[1]!onepair_D($G$434)</f>
        <v>31.304347826087</v>
      </c>
      <c r="G438" s="317" t="str">
        <f ca="1">[1]!onepair_D2($G$434)</f>
        <v>bigger</v>
      </c>
      <c r="H438" s="77"/>
    </row>
    <row r="439" spans="1:13" ht="16" thickBot="1" x14ac:dyDescent="0.4">
      <c r="B439" s="135">
        <f ca="1">[1]!stdnum_E($C$434)</f>
        <v>1.38E-2</v>
      </c>
      <c r="C439" s="84"/>
      <c r="D439" s="78"/>
      <c r="F439" s="75">
        <f ca="1">[1]!onepair_E($G$434)</f>
        <v>31.304347826087</v>
      </c>
      <c r="G439" s="318" t="str">
        <f ca="1">[1]!onepair_E2($G$434)</f>
        <v>smaller</v>
      </c>
      <c r="H439" s="78"/>
    </row>
    <row r="440" spans="1:13" ht="16" thickTop="1" x14ac:dyDescent="0.35"/>
    <row r="442" spans="1:13" x14ac:dyDescent="0.35">
      <c r="A442" s="88" t="s">
        <v>703</v>
      </c>
    </row>
    <row r="443" spans="1:13" x14ac:dyDescent="0.35">
      <c r="A443" s="8">
        <f ca="1">RANDBETWEEN(30,50)*100</f>
        <v>3700</v>
      </c>
      <c r="B443" s="2" t="s">
        <v>596</v>
      </c>
      <c r="D443" s="24">
        <f ca="1">A443*(1+A445/L446)^(L446*A444-1)</f>
        <v>9272.262887310786</v>
      </c>
      <c r="E443" s="2" t="s">
        <v>269</v>
      </c>
      <c r="H443" s="10">
        <f ca="1">D445*(1+A445/L446)^L446-D445</f>
        <v>907.01849751707596</v>
      </c>
      <c r="I443" s="2" t="s">
        <v>2484</v>
      </c>
      <c r="L443" s="4">
        <f ca="1">RANDBETWEEN(1,3)</f>
        <v>1</v>
      </c>
    </row>
    <row r="444" spans="1:13" x14ac:dyDescent="0.35">
      <c r="A444" s="265">
        <f ca="1">RANDBETWEEN(4,14)</f>
        <v>10</v>
      </c>
      <c r="B444" s="2" t="s">
        <v>271</v>
      </c>
      <c r="D444" s="24">
        <f ca="1">D443*A445/L446</f>
        <v>71.860037376658582</v>
      </c>
      <c r="E444" s="2" t="s">
        <v>268</v>
      </c>
      <c r="H444" s="10">
        <f ca="1">H443-A445*A443</f>
        <v>562.91849751707593</v>
      </c>
      <c r="I444" s="2" t="s">
        <v>2485</v>
      </c>
      <c r="L444" s="4" t="str">
        <f ca="1">CHOOSE(L443,"months","quarters","semiannum")</f>
        <v>months</v>
      </c>
      <c r="M444" s="2" t="s">
        <v>2888</v>
      </c>
    </row>
    <row r="445" spans="1:13" x14ac:dyDescent="0.35">
      <c r="A445" s="14">
        <f ca="1">RANDBETWEEN(70,120)/1000</f>
        <v>9.2999999999999999E-2</v>
      </c>
      <c r="B445" s="2" t="s">
        <v>985</v>
      </c>
      <c r="D445" s="24">
        <f ca="1">A443*(1+A445/L446)^(A444*L446)</f>
        <v>9344.1229246874445</v>
      </c>
      <c r="E445" s="2" t="s">
        <v>2483</v>
      </c>
      <c r="L445" s="4" t="str">
        <f ca="1">CHOOSE(L443,"monthly","quarterly","semiannually")</f>
        <v>monthly</v>
      </c>
      <c r="M445" s="2" t="s">
        <v>2889</v>
      </c>
    </row>
    <row r="446" spans="1:13" x14ac:dyDescent="0.35">
      <c r="D446" s="29"/>
      <c r="L446" s="4">
        <f ca="1">CHOOSE(L443,12,4,2)</f>
        <v>12</v>
      </c>
      <c r="M446" s="2" t="s">
        <v>2890</v>
      </c>
    </row>
    <row r="448" spans="1:13" ht="16" thickBot="1" x14ac:dyDescent="0.4">
      <c r="B448" s="88" t="s">
        <v>2065</v>
      </c>
      <c r="F448" s="120" t="s">
        <v>548</v>
      </c>
    </row>
    <row r="449" spans="1:12" ht="16.5" thickTop="1" thickBot="1" x14ac:dyDescent="0.4">
      <c r="B449" s="76" t="str">
        <f ca="1">[1]!std_ans($C$449)</f>
        <v>D</v>
      </c>
      <c r="C449" s="79" t="str">
        <f ca="1" xml:space="preserve"> "/\" &amp;RANDBETWEEN( 1,120) &amp; "/\" &amp;RANDBETWEEN( 1,120) &amp; "/\" &amp;0.1 &amp; "/\" &amp; D444</f>
        <v>/\41/\83/\0.1/\71.8600373766586</v>
      </c>
      <c r="D449" s="80" t="s">
        <v>704</v>
      </c>
      <c r="F449" s="76" t="str">
        <f ca="1">[1]!std_ans($G$449)</f>
        <v>B</v>
      </c>
      <c r="G449" s="79" t="str">
        <f ca="1" xml:space="preserve"> "/\" &amp;RANDBETWEEN( 1,120) &amp; "/\" &amp;RANDBETWEEN( 1,120) &amp; "/\" &amp;0.1 &amp; "/\" &amp; H444</f>
        <v>/\54/\73/\0.1/\562.918497517076</v>
      </c>
      <c r="H449" s="80" t="s">
        <v>549</v>
      </c>
    </row>
    <row r="450" spans="1:12" ht="16" thickTop="1" x14ac:dyDescent="0.35">
      <c r="B450" s="129">
        <f ca="1">[1]!stdnum_A($C$449)</f>
        <v>59.388460641866601</v>
      </c>
      <c r="C450" s="82"/>
      <c r="D450" s="77"/>
      <c r="F450" s="131">
        <f ca="1">[1]!stdnum_A($G$449)</f>
        <v>465.22189877444299</v>
      </c>
      <c r="G450" s="82"/>
      <c r="H450" s="77"/>
    </row>
    <row r="451" spans="1:12" x14ac:dyDescent="0.35">
      <c r="B451" s="129">
        <f ca="1">[1]!stdnum_B($C$449)</f>
        <v>53.989509674424177</v>
      </c>
      <c r="C451" s="82"/>
      <c r="D451" s="77"/>
      <c r="F451" s="131">
        <f ca="1">[1]!stdnum_B($G$449)</f>
        <v>562.91849751707605</v>
      </c>
      <c r="G451" s="82"/>
      <c r="H451" s="77"/>
    </row>
    <row r="452" spans="1:12" x14ac:dyDescent="0.35">
      <c r="B452" s="129">
        <f ca="1">[1]!stdnum_C($C$449)</f>
        <v>65.327306706053264</v>
      </c>
      <c r="C452" s="82"/>
      <c r="D452" s="77"/>
      <c r="F452" s="131">
        <f ca="1">[1]!stdnum_C($G$449)</f>
        <v>619.21034726878372</v>
      </c>
      <c r="G452" s="82"/>
      <c r="H452" s="77"/>
    </row>
    <row r="453" spans="1:12" x14ac:dyDescent="0.35">
      <c r="B453" s="129">
        <f ca="1">[1]!stdnum_D($C$449)</f>
        <v>71.860037376658596</v>
      </c>
      <c r="C453" s="82"/>
      <c r="D453" s="77"/>
      <c r="F453" s="131">
        <f ca="1">[1]!stdnum_D($G$449)</f>
        <v>511.7440886518873</v>
      </c>
      <c r="G453" s="82"/>
      <c r="H453" s="77"/>
    </row>
    <row r="454" spans="1:12" ht="16" thickBot="1" x14ac:dyDescent="0.4">
      <c r="B454" s="130">
        <f ca="1">[1]!stdnum_E($C$449)</f>
        <v>79.046041114324467</v>
      </c>
      <c r="C454" s="84"/>
      <c r="D454" s="78"/>
      <c r="F454" s="132">
        <f ca="1">[1]!stdnum_E($G$449)</f>
        <v>422.92899888585714</v>
      </c>
      <c r="G454" s="84"/>
      <c r="H454" s="78"/>
    </row>
    <row r="455" spans="1:12" ht="16" thickTop="1" x14ac:dyDescent="0.35"/>
    <row r="457" spans="1:12" x14ac:dyDescent="0.35">
      <c r="A457" s="120" t="s">
        <v>481</v>
      </c>
      <c r="K457" s="2">
        <f ca="1">RANDBETWEEN(1,3)</f>
        <v>3</v>
      </c>
    </row>
    <row r="458" spans="1:12" x14ac:dyDescent="0.35">
      <c r="A458" s="8">
        <f ca="1">RANDBETWEEN(300,800)*15</f>
        <v>10320</v>
      </c>
      <c r="B458" s="2" t="s">
        <v>2526</v>
      </c>
      <c r="D458" s="24">
        <f ca="1">A458*(1+A460/K460)^(-A459*K460)</f>
        <v>4739.217758416029</v>
      </c>
      <c r="E458" s="2" t="s">
        <v>596</v>
      </c>
      <c r="G458" s="24">
        <f ca="1">D458*(1+D460/K460)^(A459*K460)</f>
        <v>11131.271772280157</v>
      </c>
      <c r="H458" s="2" t="s">
        <v>2586</v>
      </c>
      <c r="K458" s="4" t="str">
        <f ca="1">CHOOSE(K457,"months","quarters","semiannum")</f>
        <v>semiannum</v>
      </c>
      <c r="L458" s="2" t="s">
        <v>2888</v>
      </c>
    </row>
    <row r="459" spans="1:12" x14ac:dyDescent="0.35">
      <c r="A459" s="265">
        <f ca="1">RANDBETWEEN(4,10)</f>
        <v>6</v>
      </c>
      <c r="B459" s="2" t="s">
        <v>2105</v>
      </c>
      <c r="D459" s="265">
        <f ca="1">RANDBETWEEN(15,150)</f>
        <v>135</v>
      </c>
      <c r="E459" s="2" t="s">
        <v>361</v>
      </c>
      <c r="G459" s="10">
        <f ca="1">G458-A458</f>
        <v>811.27177228015717</v>
      </c>
      <c r="H459" s="2" t="s">
        <v>2529</v>
      </c>
      <c r="K459" s="4" t="str">
        <f ca="1">CHOOSE(K457,"monthly","quarterly","semiannually")</f>
        <v>semiannually</v>
      </c>
      <c r="L459" s="2" t="s">
        <v>2889</v>
      </c>
    </row>
    <row r="460" spans="1:12" x14ac:dyDescent="0.35">
      <c r="A460" s="29">
        <f ca="1">RANDBETWEEN(60,140)/1000</f>
        <v>0.13400000000000001</v>
      </c>
      <c r="B460" s="2" t="s">
        <v>985</v>
      </c>
      <c r="D460" s="29">
        <f ca="1">A460+D459/10000</f>
        <v>0.14750000000000002</v>
      </c>
      <c r="E460" s="2" t="s">
        <v>2291</v>
      </c>
      <c r="K460" s="4">
        <f ca="1">CHOOSE(K457,12,4,2)</f>
        <v>2</v>
      </c>
      <c r="L460" s="2" t="s">
        <v>2890</v>
      </c>
    </row>
    <row r="461" spans="1:12" ht="16" thickBot="1" x14ac:dyDescent="0.4"/>
    <row r="462" spans="1:12" ht="16.5" thickTop="1" thickBot="1" x14ac:dyDescent="0.4">
      <c r="B462" s="76" t="str">
        <f ca="1">[1]!std_ans($C$462)</f>
        <v>A</v>
      </c>
      <c r="C462" s="79" t="str">
        <f ca="1" xml:space="preserve"> "/\" &amp;RANDBETWEEN( 1,120) &amp; "/\" &amp;RANDBETWEEN( 1,120) &amp; "/\" &amp;0.1 &amp; "/\" &amp; G459</f>
        <v>/\8/\87/\0.1/\811.271772280157</v>
      </c>
      <c r="D462" s="80" t="s">
        <v>482</v>
      </c>
    </row>
    <row r="463" spans="1:12" ht="16" thickTop="1" x14ac:dyDescent="0.35">
      <c r="B463" s="110">
        <f ca="1">[1]!stdnum_A($C$462)</f>
        <v>811.27177228015705</v>
      </c>
      <c r="C463" s="82"/>
      <c r="D463" s="77"/>
    </row>
    <row r="464" spans="1:12" x14ac:dyDescent="0.35">
      <c r="B464" s="110">
        <f ca="1">[1]!stdnum_B($C$462)</f>
        <v>670.47253907450988</v>
      </c>
      <c r="C464" s="82"/>
      <c r="D464" s="77"/>
    </row>
    <row r="465" spans="1:12" x14ac:dyDescent="0.35">
      <c r="B465" s="110">
        <f ca="1">[1]!stdnum_C($C$462)</f>
        <v>737.5197929819609</v>
      </c>
      <c r="C465" s="82"/>
      <c r="D465" s="77"/>
    </row>
    <row r="466" spans="1:12" x14ac:dyDescent="0.35">
      <c r="B466" s="110">
        <f ca="1">[1]!stdnum_D($C$462)</f>
        <v>892.39894950817279</v>
      </c>
      <c r="C466" s="82"/>
      <c r="D466" s="77"/>
    </row>
    <row r="467" spans="1:12" ht="16" thickBot="1" x14ac:dyDescent="0.4">
      <c r="B467" s="111">
        <f ca="1">[1]!stdnum_E($C$462)</f>
        <v>609.52049006773609</v>
      </c>
      <c r="C467" s="84"/>
      <c r="D467" s="78"/>
    </row>
    <row r="468" spans="1:12" ht="16" thickTop="1" x14ac:dyDescent="0.35"/>
    <row r="470" spans="1:12" x14ac:dyDescent="0.35">
      <c r="A470" s="88" t="s">
        <v>484</v>
      </c>
    </row>
    <row r="471" spans="1:12" x14ac:dyDescent="0.35">
      <c r="H471" s="4">
        <f ca="1">RANDBETWEEN(1,3)</f>
        <v>1</v>
      </c>
      <c r="K471" s="2">
        <f ca="1">RANDBETWEEN(1,3)</f>
        <v>3</v>
      </c>
    </row>
    <row r="472" spans="1:12" x14ac:dyDescent="0.35">
      <c r="A472" s="20">
        <f ca="1">RANDBETWEEN(10,30)*100</f>
        <v>2900</v>
      </c>
      <c r="B472" s="2" t="s">
        <v>596</v>
      </c>
      <c r="D472" s="10">
        <f ca="1">A475-A472</f>
        <v>10491.220553206136</v>
      </c>
      <c r="E472" s="2" t="s">
        <v>1445</v>
      </c>
      <c r="H472" s="4" t="str">
        <f ca="1">CHOOSE(H471,"months","quarters","semiannum")</f>
        <v>months</v>
      </c>
      <c r="I472" s="2" t="s">
        <v>2888</v>
      </c>
      <c r="K472" s="2" t="str">
        <f ca="1">CHOOSE(K471,"total interest","total interest-on-principal","total interest-on-interest")</f>
        <v>total interest-on-interest</v>
      </c>
    </row>
    <row r="473" spans="1:12" x14ac:dyDescent="0.35">
      <c r="A473" s="4">
        <f ca="1">RANDBETWEEN(10,20)</f>
        <v>16</v>
      </c>
      <c r="B473" s="2" t="s">
        <v>2105</v>
      </c>
      <c r="D473" s="10">
        <f ca="1">A474*A472*A473</f>
        <v>4454.4000000000005</v>
      </c>
      <c r="E473" s="2" t="s">
        <v>733</v>
      </c>
      <c r="H473" s="4" t="str">
        <f ca="1">CHOOSE(H471,"monthly","quarterly","semiannually")</f>
        <v>monthly</v>
      </c>
      <c r="I473" s="2" t="s">
        <v>2889</v>
      </c>
      <c r="K473" s="8">
        <f ca="1">CHOOSE(K471,D472,D473,D474)</f>
        <v>6036.8205532061356</v>
      </c>
    </row>
    <row r="474" spans="1:12" x14ac:dyDescent="0.35">
      <c r="A474" s="7">
        <f ca="1">RANDBETWEEN(70,120)/1000</f>
        <v>9.6000000000000002E-2</v>
      </c>
      <c r="B474" s="2" t="s">
        <v>985</v>
      </c>
      <c r="D474" s="10">
        <f ca="1">D472-D473</f>
        <v>6036.8205532061356</v>
      </c>
      <c r="E474" s="2" t="s">
        <v>192</v>
      </c>
      <c r="H474" s="4">
        <f ca="1">CHOOSE(H471,12,4,2)</f>
        <v>12</v>
      </c>
      <c r="I474" s="2" t="s">
        <v>2890</v>
      </c>
    </row>
    <row r="475" spans="1:12" x14ac:dyDescent="0.35">
      <c r="A475" s="20">
        <f ca="1">A472*(1+A474/H474)^(A473*H474)</f>
        <v>13391.220553206136</v>
      </c>
      <c r="B475" s="2" t="s">
        <v>909</v>
      </c>
    </row>
    <row r="477" spans="1:12" ht="16" thickBot="1" x14ac:dyDescent="0.4">
      <c r="B477" s="120" t="s">
        <v>483</v>
      </c>
      <c r="F477" s="88" t="s">
        <v>2077</v>
      </c>
      <c r="J477" s="120" t="s">
        <v>1353</v>
      </c>
    </row>
    <row r="478" spans="1:12" ht="16.5" thickTop="1" thickBot="1" x14ac:dyDescent="0.4">
      <c r="B478" s="76" t="str">
        <f ca="1">[1]!std_ans($C$478)</f>
        <v>D</v>
      </c>
      <c r="C478" s="79" t="str">
        <f ca="1" xml:space="preserve"> "/\" &amp;RANDBETWEEN( 1,120) &amp; "/\" &amp;RANDBETWEEN( 1,120) &amp; "/\" &amp;0.1 &amp; "/\" &amp; A475</f>
        <v>/\81/\101/\0.1/\13391.2205532061</v>
      </c>
      <c r="D478" s="80" t="s">
        <v>485</v>
      </c>
      <c r="F478" s="76" t="str">
        <f ca="1">[1]!std_ans($G$478)</f>
        <v>D</v>
      </c>
      <c r="G478" s="79" t="str">
        <f ca="1" xml:space="preserve"> "/\" &amp;RANDBETWEEN( 1,120) &amp; "/\" &amp;RANDBETWEEN( 1,120) &amp; "/\" &amp;0.1 &amp; "/\" &amp; D472</f>
        <v>/\57/\15/\0.1/\10491.2205532061</v>
      </c>
      <c r="H478" s="80" t="s">
        <v>2078</v>
      </c>
      <c r="J478" s="76" t="str">
        <f ca="1">[1]!std_ans($K$478)</f>
        <v>A</v>
      </c>
      <c r="K478" s="79" t="str">
        <f ca="1" xml:space="preserve"> "/\" &amp;RANDBETWEEN( 1,120) &amp; "/\" &amp;RANDBETWEEN( 1,120) &amp; "/\" &amp;0.1 &amp; "/\" &amp; D473</f>
        <v>/\21/\84/\0.1/\4454.4</v>
      </c>
      <c r="L478" s="80" t="s">
        <v>1354</v>
      </c>
    </row>
    <row r="479" spans="1:12" ht="16" thickTop="1" x14ac:dyDescent="0.35">
      <c r="B479" s="110">
        <f ca="1">[1]!stdnum_A($C$478)</f>
        <v>10061.022203761155</v>
      </c>
      <c r="C479" s="82"/>
      <c r="D479" s="77"/>
      <c r="F479" s="110">
        <f ca="1">[1]!stdnum_A($G$478)</f>
        <v>12694.376869379383</v>
      </c>
      <c r="G479" s="82"/>
      <c r="H479" s="77"/>
      <c r="J479" s="110">
        <f ca="1">[1]!stdnum_A($K$478)</f>
        <v>4454.3999999999996</v>
      </c>
      <c r="K479" s="82"/>
      <c r="L479" s="77"/>
    </row>
    <row r="480" spans="1:12" x14ac:dyDescent="0.35">
      <c r="B480" s="110">
        <f ca="1">[1]!stdnum_B($C$478)</f>
        <v>9146.3838216010499</v>
      </c>
      <c r="C480" s="82"/>
      <c r="D480" s="77"/>
      <c r="F480" s="110">
        <f ca="1">[1]!stdnum_B($G$478)</f>
        <v>13963.814556317324</v>
      </c>
      <c r="G480" s="82"/>
      <c r="H480" s="77"/>
      <c r="J480" s="110">
        <f ca="1">[1]!stdnum_B($K$478)</f>
        <v>3346.6566491359868</v>
      </c>
      <c r="K480" s="82"/>
      <c r="L480" s="77"/>
    </row>
    <row r="481" spans="1:12" x14ac:dyDescent="0.35">
      <c r="B481" s="110">
        <f ca="1">[1]!stdnum_C($C$478)</f>
        <v>12173.836866550999</v>
      </c>
      <c r="C481" s="82"/>
      <c r="D481" s="77"/>
      <c r="F481" s="110">
        <f ca="1">[1]!stdnum_C($G$478)</f>
        <v>11540.342608526711</v>
      </c>
      <c r="G481" s="82"/>
      <c r="H481" s="77"/>
      <c r="J481" s="110">
        <f ca="1">[1]!stdnum_C($K$478)</f>
        <v>4899.84</v>
      </c>
      <c r="K481" s="82"/>
      <c r="L481" s="77"/>
    </row>
    <row r="482" spans="1:12" x14ac:dyDescent="0.35">
      <c r="B482" s="110">
        <f ca="1">[1]!stdnum_D($C$478)</f>
        <v>13391.2205532061</v>
      </c>
      <c r="C482" s="82"/>
      <c r="D482" s="77"/>
      <c r="F482" s="110">
        <f ca="1">[1]!stdnum_D($G$478)</f>
        <v>10491.2205532061</v>
      </c>
      <c r="G482" s="82"/>
      <c r="H482" s="77"/>
      <c r="J482" s="110">
        <f ca="1">[1]!stdnum_D($K$478)</f>
        <v>3681.3223140495861</v>
      </c>
      <c r="K482" s="82"/>
      <c r="L482" s="77"/>
    </row>
    <row r="483" spans="1:12" ht="16" thickBot="1" x14ac:dyDescent="0.4">
      <c r="B483" s="111">
        <f ca="1">[1]!stdnum_E($C$478)</f>
        <v>11067.124424137271</v>
      </c>
      <c r="C483" s="84"/>
      <c r="D483" s="78"/>
      <c r="F483" s="111">
        <f ca="1">[1]!stdnum_E($G$478)</f>
        <v>15360.196011949054</v>
      </c>
      <c r="G483" s="84"/>
      <c r="H483" s="78"/>
      <c r="J483" s="111">
        <f ca="1">[1]!stdnum_E($K$478)</f>
        <v>4049.454545454545</v>
      </c>
      <c r="K483" s="84"/>
      <c r="L483" s="78"/>
    </row>
    <row r="484" spans="1:12" ht="16" thickTop="1" x14ac:dyDescent="0.35"/>
    <row r="485" spans="1:12" ht="16" thickBot="1" x14ac:dyDescent="0.4">
      <c r="B485" s="120" t="s">
        <v>3423</v>
      </c>
      <c r="F485" s="120" t="s">
        <v>1603</v>
      </c>
    </row>
    <row r="486" spans="1:12" ht="16.5" thickTop="1" thickBot="1" x14ac:dyDescent="0.4">
      <c r="B486" s="76" t="str">
        <f ca="1">[1]!std_ans($C$486)</f>
        <v>A</v>
      </c>
      <c r="C486" s="79" t="str">
        <f ca="1" xml:space="preserve"> "/\" &amp;RANDBETWEEN( 1,120) &amp; "/\" &amp;RANDBETWEEN( 1,120) &amp; "/\" &amp;0.1 &amp; "/\" &amp; D474</f>
        <v>/\24/\48/\0.1/\6036.82055320614</v>
      </c>
      <c r="D486" s="80" t="s">
        <v>3424</v>
      </c>
      <c r="F486" s="76" t="str">
        <f ca="1">[1]!std_ans($G$486)</f>
        <v>A</v>
      </c>
      <c r="G486" s="79" t="str">
        <f ca="1" xml:space="preserve"> "/\" &amp;RANDBETWEEN( 1,120) &amp; "/\" &amp;RANDBETWEEN( 1,120) &amp; "/\" &amp;0.1 &amp; "/\" &amp; K473</f>
        <v>/\12/\87/\0.1/\6036.82055320614</v>
      </c>
      <c r="H486" s="80" t="s">
        <v>1604</v>
      </c>
    </row>
    <row r="487" spans="1:12" ht="16" thickTop="1" x14ac:dyDescent="0.35">
      <c r="B487" s="110">
        <f ca="1">[1]!stdnum_A($C$486)</f>
        <v>6036.8205532061402</v>
      </c>
      <c r="C487" s="82"/>
      <c r="D487" s="77"/>
      <c r="F487" s="110">
        <f ca="1">[1]!stdnum_A($G$486)</f>
        <v>6036.8205532061402</v>
      </c>
      <c r="G487" s="82"/>
      <c r="H487" s="77"/>
    </row>
    <row r="488" spans="1:12" x14ac:dyDescent="0.35">
      <c r="B488" s="110">
        <f ca="1">[1]!stdnum_B($C$486)</f>
        <v>5488.0186847328541</v>
      </c>
      <c r="C488" s="82"/>
      <c r="D488" s="77"/>
      <c r="F488" s="110">
        <f ca="1">[1]!stdnum_B($G$486)</f>
        <v>4989.1078952116859</v>
      </c>
      <c r="G488" s="82"/>
      <c r="H488" s="77"/>
    </row>
    <row r="489" spans="1:12" x14ac:dyDescent="0.35">
      <c r="B489" s="110">
        <f ca="1">[1]!stdnum_C($C$486)</f>
        <v>6640.5026085267546</v>
      </c>
      <c r="C489" s="82"/>
      <c r="D489" s="77"/>
      <c r="F489" s="110">
        <f ca="1">[1]!stdnum_C($G$486)</f>
        <v>6640.5026085267546</v>
      </c>
      <c r="G489" s="82"/>
      <c r="H489" s="77"/>
    </row>
    <row r="490" spans="1:12" x14ac:dyDescent="0.35">
      <c r="B490" s="110">
        <f ca="1">[1]!stdnum_D($C$486)</f>
        <v>7304.5528693794304</v>
      </c>
      <c r="C490" s="82"/>
      <c r="D490" s="77"/>
      <c r="F490" s="110">
        <f ca="1">[1]!stdnum_D($G$486)</f>
        <v>4535.5526320106228</v>
      </c>
      <c r="G490" s="82"/>
      <c r="H490" s="77"/>
    </row>
    <row r="491" spans="1:12" ht="16" thickBot="1" x14ac:dyDescent="0.4">
      <c r="B491" s="111">
        <f ca="1">[1]!stdnum_E($C$486)</f>
        <v>8035.0081563173753</v>
      </c>
      <c r="C491" s="84"/>
      <c r="D491" s="78"/>
      <c r="F491" s="111">
        <f ca="1">[1]!stdnum_E($G$486)</f>
        <v>5488.0186847328541</v>
      </c>
      <c r="G491" s="84"/>
      <c r="H491" s="78"/>
    </row>
    <row r="492" spans="1:12" ht="16" thickTop="1" x14ac:dyDescent="0.35"/>
    <row r="494" spans="1:12" x14ac:dyDescent="0.35">
      <c r="A494" s="120" t="s">
        <v>3645</v>
      </c>
    </row>
    <row r="495" spans="1:12" x14ac:dyDescent="0.35">
      <c r="G495" s="4">
        <f ca="1">RANDBETWEEN(1,3)</f>
        <v>1</v>
      </c>
    </row>
    <row r="496" spans="1:12" x14ac:dyDescent="0.35">
      <c r="A496" s="8">
        <f ca="1">RANDBETWEEN(300,800)*10</f>
        <v>7240</v>
      </c>
      <c r="B496" s="2" t="s">
        <v>596</v>
      </c>
      <c r="D496" s="24">
        <f ca="1">A496*(1+A498/G498)^(G498*A497-1)</f>
        <v>10049.019343768656</v>
      </c>
      <c r="E496" s="2" t="s">
        <v>269</v>
      </c>
      <c r="G496" s="4" t="str">
        <f ca="1">CHOOSE(G495,"months","quarters","semiannum")</f>
        <v>months</v>
      </c>
      <c r="H496" s="2" t="s">
        <v>2888</v>
      </c>
    </row>
    <row r="497" spans="1:19" x14ac:dyDescent="0.35">
      <c r="A497" s="265">
        <f ca="1">RANDBETWEEN(4,14)</f>
        <v>4</v>
      </c>
      <c r="B497" s="2" t="s">
        <v>2105</v>
      </c>
      <c r="D497" s="13">
        <f ca="1">D496*A498/G498</f>
        <v>70.343135406380597</v>
      </c>
      <c r="E497" s="2" t="s">
        <v>270</v>
      </c>
      <c r="G497" s="4" t="str">
        <f ca="1">CHOOSE(G495,"monthly","quarterly","semiannually")</f>
        <v>monthly</v>
      </c>
      <c r="H497" s="2" t="s">
        <v>2889</v>
      </c>
    </row>
    <row r="498" spans="1:19" x14ac:dyDescent="0.35">
      <c r="A498" s="14">
        <f ca="1">RANDBETWEEN(60,120)/1000</f>
        <v>8.4000000000000005E-2</v>
      </c>
      <c r="B498" s="2" t="s">
        <v>985</v>
      </c>
      <c r="D498" s="232">
        <f ca="1">D496+D497</f>
        <v>10119.362479175037</v>
      </c>
      <c r="E498" s="2" t="s">
        <v>2483</v>
      </c>
      <c r="G498" s="4">
        <f ca="1">CHOOSE(G495,12,4,2)</f>
        <v>12</v>
      </c>
      <c r="H498" s="2" t="s">
        <v>2890</v>
      </c>
    </row>
    <row r="500" spans="1:19" ht="16" thickBot="1" x14ac:dyDescent="0.4">
      <c r="B500" s="120" t="s">
        <v>3433</v>
      </c>
      <c r="F500" s="120" t="s">
        <v>3647</v>
      </c>
    </row>
    <row r="501" spans="1:19" ht="16.5" thickTop="1" thickBot="1" x14ac:dyDescent="0.4">
      <c r="B501" s="76" t="str">
        <f ca="1">[1]!std_ans($C$501)</f>
        <v>A</v>
      </c>
      <c r="C501" s="79" t="str">
        <f ca="1" xml:space="preserve"> "/\" &amp;RANDBETWEEN( 1,120) &amp; "/\" &amp;RANDBETWEEN( 1,120) &amp; "/\" &amp;0.1 &amp; "/\" &amp; D498</f>
        <v>/\1/\84/\0.1/\10119.362479175</v>
      </c>
      <c r="D501" s="80" t="s">
        <v>3646</v>
      </c>
      <c r="F501" s="76" t="str">
        <f ca="1">[1]!std_ans($G$501)</f>
        <v>D</v>
      </c>
      <c r="G501" s="79" t="str">
        <f ca="1" xml:space="preserve"> "/\" &amp;RANDBETWEEN( 1,120) &amp; "/\" &amp;RANDBETWEEN( 1,120) &amp; "/\" &amp;0.1 &amp; "/\" &amp; A496</f>
        <v>/\83/\84/\0.1/\7240</v>
      </c>
      <c r="H501" s="80" t="s">
        <v>831</v>
      </c>
    </row>
    <row r="502" spans="1:19" ht="16" thickTop="1" x14ac:dyDescent="0.35">
      <c r="B502" s="110">
        <f ca="1">[1]!stdnum_A($C$501)</f>
        <v>10119.362479175001</v>
      </c>
      <c r="C502" s="82"/>
      <c r="D502" s="77"/>
      <c r="F502" s="110">
        <f ca="1">[1]!stdnum_A($G$501)</f>
        <v>6581.818181818182</v>
      </c>
      <c r="G502" s="82"/>
      <c r="H502" s="77"/>
    </row>
    <row r="503" spans="1:19" x14ac:dyDescent="0.35">
      <c r="B503" s="110">
        <f ca="1">[1]!stdnum_B($C$501)</f>
        <v>8363.1094869214867</v>
      </c>
      <c r="C503" s="82"/>
      <c r="D503" s="77"/>
      <c r="F503" s="110">
        <f ca="1">[1]!stdnum_B($G$501)</f>
        <v>5983.4710743801643</v>
      </c>
      <c r="G503" s="82"/>
      <c r="H503" s="77"/>
    </row>
    <row r="504" spans="1:19" x14ac:dyDescent="0.35">
      <c r="B504" s="110">
        <f ca="1">[1]!stdnum_C($C$501)</f>
        <v>11131.298727092502</v>
      </c>
      <c r="C504" s="82"/>
      <c r="D504" s="77"/>
      <c r="F504" s="110">
        <f ca="1">[1]!stdnum_C($G$501)</f>
        <v>5439.5191585274215</v>
      </c>
      <c r="G504" s="82"/>
      <c r="H504" s="77"/>
    </row>
    <row r="505" spans="1:19" x14ac:dyDescent="0.35">
      <c r="B505" s="110">
        <f ca="1">[1]!stdnum_D($C$501)</f>
        <v>9199.4204356136361</v>
      </c>
      <c r="C505" s="82"/>
      <c r="D505" s="77"/>
      <c r="F505" s="110">
        <f ca="1">[1]!stdnum_D($G$501)</f>
        <v>7240</v>
      </c>
      <c r="G505" s="82"/>
      <c r="H505" s="77"/>
    </row>
    <row r="506" spans="1:19" ht="16" thickBot="1" x14ac:dyDescent="0.4">
      <c r="B506" s="111">
        <f ca="1">[1]!stdnum_E($C$501)</f>
        <v>7602.8268062922598</v>
      </c>
      <c r="C506" s="84"/>
      <c r="D506" s="78"/>
      <c r="F506" s="111">
        <f ca="1">[1]!stdnum_E($G$501)</f>
        <v>7964.0000000000009</v>
      </c>
      <c r="G506" s="84"/>
      <c r="H506" s="78"/>
    </row>
    <row r="507" spans="1:19" ht="16" thickTop="1" x14ac:dyDescent="0.35"/>
    <row r="509" spans="1:19" x14ac:dyDescent="0.35">
      <c r="A509" s="88" t="s">
        <v>741</v>
      </c>
    </row>
    <row r="510" spans="1:19" x14ac:dyDescent="0.35">
      <c r="J510" s="22" t="s">
        <v>2390</v>
      </c>
    </row>
    <row r="511" spans="1:19" x14ac:dyDescent="0.35">
      <c r="A511" s="8">
        <f ca="1">RANDBETWEEN(300,800)*15</f>
        <v>8010</v>
      </c>
      <c r="B511" s="2" t="s">
        <v>2526</v>
      </c>
      <c r="D511" s="24">
        <f ca="1">A511*(1+A513/N515)^(-A512*N515)</f>
        <v>3116.442744480345</v>
      </c>
      <c r="E511" s="2" t="s">
        <v>596</v>
      </c>
      <c r="G511" s="24">
        <f ca="1">D511*(1+D513/N515)^(A512*N515)</f>
        <v>7760.2927334488095</v>
      </c>
      <c r="H511" s="2" t="s">
        <v>2586</v>
      </c>
      <c r="J511" s="10">
        <f ca="1">G512</f>
        <v>249.70726655119051</v>
      </c>
      <c r="K511" s="2" t="s">
        <v>225</v>
      </c>
      <c r="N511" s="269">
        <f ca="1">ABS(J514-A513)*10000</f>
        <v>22.306298078960673</v>
      </c>
      <c r="O511" s="2" t="s">
        <v>2585</v>
      </c>
      <c r="Q511" s="2" t="str">
        <f ca="1">J512</f>
        <v>more</v>
      </c>
    </row>
    <row r="512" spans="1:19" x14ac:dyDescent="0.35">
      <c r="A512" s="265">
        <f ca="1">RANDBETWEEN(8,24)</f>
        <v>14</v>
      </c>
      <c r="B512" s="2" t="s">
        <v>2105</v>
      </c>
      <c r="D512" s="265">
        <f ca="1">RANDBETWEEN(15,150)</f>
        <v>23</v>
      </c>
      <c r="E512" s="2" t="s">
        <v>361</v>
      </c>
      <c r="G512" s="10">
        <f ca="1">A511-G511</f>
        <v>249.70726655119051</v>
      </c>
      <c r="H512" s="2" t="s">
        <v>2529</v>
      </c>
      <c r="J512" s="6" t="str">
        <f ca="1">IF(sign2&gt;0,"more","less")</f>
        <v>more</v>
      </c>
      <c r="K512" s="2" t="s">
        <v>11</v>
      </c>
      <c r="N512" s="4">
        <f ca="1">RANDBETWEEN(1,3)</f>
        <v>2</v>
      </c>
      <c r="Q512" s="2" t="str">
        <f ca="1">IF(sign2&lt;0,"more","less")</f>
        <v>less</v>
      </c>
      <c r="S512" s="2" t="s">
        <v>1398</v>
      </c>
    </row>
    <row r="513" spans="1:19" x14ac:dyDescent="0.35">
      <c r="A513" s="29">
        <f ca="1">RANDBETWEEN(60,140)/1000</f>
        <v>6.8000000000000005E-2</v>
      </c>
      <c r="B513" s="2" t="s">
        <v>985</v>
      </c>
      <c r="D513" s="29">
        <f ca="1">A513-D512/10000</f>
        <v>6.5700000000000008E-2</v>
      </c>
      <c r="E513" s="2" t="s">
        <v>2291</v>
      </c>
      <c r="J513" s="10">
        <f ca="1">A511+sign2*G512</f>
        <v>8259.7072665511914</v>
      </c>
      <c r="K513" s="2" t="s">
        <v>2528</v>
      </c>
      <c r="N513" s="4" t="str">
        <f ca="1">CHOOSE(N512,"months","quarters","semiannum")</f>
        <v>quarters</v>
      </c>
      <c r="O513" s="2" t="s">
        <v>2888</v>
      </c>
      <c r="S513" s="2" t="s">
        <v>1399</v>
      </c>
    </row>
    <row r="514" spans="1:19" x14ac:dyDescent="0.35">
      <c r="D514" s="29"/>
      <c r="J514" s="29">
        <f ca="1">((J513/D511)^(1/(A512*N515))-1)*N515</f>
        <v>7.0230629807896072E-2</v>
      </c>
      <c r="K514" s="2" t="s">
        <v>2527</v>
      </c>
      <c r="N514" s="4" t="str">
        <f ca="1">CHOOSE(N512,"monthly","quarterly","semiannually")</f>
        <v>quarterly</v>
      </c>
      <c r="O514" s="2" t="s">
        <v>2889</v>
      </c>
    </row>
    <row r="515" spans="1:19" x14ac:dyDescent="0.35">
      <c r="D515" s="29"/>
      <c r="N515" s="4">
        <f ca="1">CHOOSE(N512,12,4,2)</f>
        <v>4</v>
      </c>
      <c r="O515" s="2" t="s">
        <v>2890</v>
      </c>
    </row>
    <row r="517" spans="1:19" ht="16" thickBot="1" x14ac:dyDescent="0.4">
      <c r="B517" s="88" t="s">
        <v>832</v>
      </c>
      <c r="F517" s="88" t="s">
        <v>3413</v>
      </c>
      <c r="J517" s="120" t="s">
        <v>1272</v>
      </c>
    </row>
    <row r="518" spans="1:19" ht="16.5" thickTop="1" thickBot="1" x14ac:dyDescent="0.4">
      <c r="B518" s="76" t="str">
        <f ca="1">[1]!std_ans($C$518)</f>
        <v>A</v>
      </c>
      <c r="C518" s="79" t="str">
        <f ca="1" xml:space="preserve"> "/\" &amp;RANDBETWEEN( 1,120) &amp; "/\" &amp;RANDBETWEEN( 1,120) &amp; "/\" &amp;0.1 &amp; "/\" &amp; G512</f>
        <v>/\20/\14/\0.1/\249.707266551191</v>
      </c>
      <c r="D518" s="80" t="s">
        <v>742</v>
      </c>
      <c r="F518" s="76" t="str">
        <f ca="1">[1]!std_ans($G$518)</f>
        <v>E</v>
      </c>
      <c r="G518" s="79" t="str">
        <f ca="1" xml:space="preserve"> "/\" &amp;RANDBETWEEN( 1,120) &amp; "/\" &amp;RANDBETWEEN( 1,120) &amp; "/\" &amp;0.1 &amp; "/\" &amp; D513</f>
        <v>/\60/\105/\0.1/\0.0657</v>
      </c>
      <c r="H518" s="80" t="s">
        <v>3414</v>
      </c>
      <c r="J518" s="76" t="str">
        <f ca="1">[1]!alpha_ans($K$518)</f>
        <v>E</v>
      </c>
      <c r="K518" s="79" t="str">
        <f ca="1" xml:space="preserve"> "/\" &amp;RANDBETWEEN( 1,5) &amp; "/\" &amp;RANDBETWEEN( 1,120) &amp; "/\" &amp;RANDBETWEEN( 1,6) &amp; "/\" &amp;RANDBETWEEN( 1,2) &amp; "/\" &amp; N511 &amp; "/\" &amp; "Mask" &amp; "/\" &amp; "Mask" &amp; "/\" &amp; Q511 &amp; "/\" &amp; Q512</f>
        <v>/\5/\100/\4/\1/\22.3062980789607/\Mask/\Mask/\more/\less</v>
      </c>
      <c r="L518" s="80" t="s">
        <v>1273</v>
      </c>
    </row>
    <row r="519" spans="1:19" ht="16" thickTop="1" x14ac:dyDescent="0.35">
      <c r="B519" s="110">
        <f ca="1">[1]!stdnum_A($C$518)</f>
        <v>249.707266551191</v>
      </c>
      <c r="C519" s="82"/>
      <c r="D519" s="77"/>
      <c r="F519" s="134">
        <f ca="1">[1]!stdnum_A($G$518)</f>
        <v>5.4297520661157013E-2</v>
      </c>
      <c r="G519" s="82"/>
      <c r="H519" s="77"/>
      <c r="J519" s="81">
        <f ca="1">[1]!onepair_A($K$518)</f>
        <v>19.396780938226701</v>
      </c>
      <c r="K519" s="82" t="str">
        <f ca="1">[1]!onepair_A2($K$518)</f>
        <v>less</v>
      </c>
      <c r="L519" s="77"/>
    </row>
    <row r="520" spans="1:19" x14ac:dyDescent="0.35">
      <c r="B520" s="110">
        <f ca="1">[1]!stdnum_B($C$518)</f>
        <v>302.14579252694114</v>
      </c>
      <c r="C520" s="82"/>
      <c r="D520" s="77"/>
      <c r="F520" s="134">
        <f ca="1">[1]!stdnum_B($G$518)</f>
        <v>4.9361382419233643E-2</v>
      </c>
      <c r="G520" s="82"/>
      <c r="H520" s="77"/>
      <c r="J520" s="81">
        <f ca="1">[1]!onepair_B($K$518)</f>
        <v>22.306298078960701</v>
      </c>
      <c r="K520" s="82" t="str">
        <f ca="1">[1]!onepair_B2($K$518)</f>
        <v>less</v>
      </c>
      <c r="L520" s="77"/>
    </row>
    <row r="521" spans="1:19" x14ac:dyDescent="0.35">
      <c r="B521" s="110">
        <f ca="1">[1]!stdnum_C($C$518)</f>
        <v>332.36037177963533</v>
      </c>
      <c r="C521" s="82"/>
      <c r="D521" s="77"/>
      <c r="F521" s="134">
        <f ca="1">[1]!stdnum_C($G$518)</f>
        <v>5.9727272727272719E-2</v>
      </c>
      <c r="G521" s="82"/>
      <c r="H521" s="77"/>
      <c r="J521" s="81">
        <f ca="1">[1]!onepair_C($K$518)</f>
        <v>25.652242790804799</v>
      </c>
      <c r="K521" s="82" t="str">
        <f ca="1">[1]!onepair_C2($K$518)</f>
        <v>less</v>
      </c>
      <c r="L521" s="77"/>
    </row>
    <row r="522" spans="1:19" x14ac:dyDescent="0.35">
      <c r="B522" s="110">
        <f ca="1">[1]!stdnum_D($C$518)</f>
        <v>365.59640895759884</v>
      </c>
      <c r="C522" s="82"/>
      <c r="D522" s="77"/>
      <c r="F522" s="134">
        <f ca="1">[1]!stdnum_D($G$518)</f>
        <v>4.487398401748513E-2</v>
      </c>
      <c r="G522" s="82"/>
      <c r="H522" s="77"/>
      <c r="J522" s="81">
        <f ca="1">[1]!onepair_D($K$518)</f>
        <v>19.396780938226701</v>
      </c>
      <c r="K522" s="82" t="str">
        <f ca="1">[1]!onepair_D2($K$518)</f>
        <v>more</v>
      </c>
      <c r="L522" s="77"/>
    </row>
    <row r="523" spans="1:19" ht="16" thickBot="1" x14ac:dyDescent="0.4">
      <c r="B523" s="111">
        <f ca="1">[1]!stdnum_E($C$518)</f>
        <v>274.67799320631013</v>
      </c>
      <c r="C523" s="84"/>
      <c r="D523" s="78"/>
      <c r="F523" s="135">
        <f ca="1">[1]!stdnum_E($G$518)</f>
        <v>6.5699999999999995E-2</v>
      </c>
      <c r="G523" s="84"/>
      <c r="H523" s="78"/>
      <c r="J523" s="83">
        <f ca="1">[1]!onepair_E($K$518)</f>
        <v>22.306298078960701</v>
      </c>
      <c r="K523" s="84" t="str">
        <f ca="1">[1]!onepair_E2($K$518)</f>
        <v>more</v>
      </c>
      <c r="L523" s="78"/>
    </row>
    <row r="524" spans="1:19" ht="16" thickTop="1" x14ac:dyDescent="0.35"/>
    <row r="526" spans="1:19" x14ac:dyDescent="0.35">
      <c r="A526" s="120" t="s">
        <v>1429</v>
      </c>
    </row>
    <row r="527" spans="1:19" x14ac:dyDescent="0.35">
      <c r="H527" s="4">
        <f ca="1">RANDBETWEEN(1,3)</f>
        <v>3</v>
      </c>
    </row>
    <row r="528" spans="1:19" x14ac:dyDescent="0.35">
      <c r="A528" s="8">
        <f ca="1">RANDBETWEEN(300,800)*10</f>
        <v>7650</v>
      </c>
      <c r="B528" s="2" t="s">
        <v>596</v>
      </c>
      <c r="D528" s="24">
        <f ca="1">A528*(1+A530/H530)^(A529*H530-1)</f>
        <v>11746.055717480534</v>
      </c>
      <c r="E528" s="2" t="s">
        <v>3455</v>
      </c>
      <c r="H528" s="4" t="str">
        <f ca="1">CHOOSE(H527,"months","quarters","semiannum")</f>
        <v>semiannum</v>
      </c>
      <c r="I528" s="2" t="s">
        <v>2888</v>
      </c>
    </row>
    <row r="529" spans="1:9" x14ac:dyDescent="0.35">
      <c r="A529" s="265">
        <f ca="1">RANDBETWEEN(4,14)</f>
        <v>8</v>
      </c>
      <c r="B529" s="2" t="s">
        <v>2105</v>
      </c>
      <c r="D529" s="24">
        <f ca="1">ROUND(D528*A530/H530,0)</f>
        <v>341</v>
      </c>
      <c r="E529" s="2" t="s">
        <v>2721</v>
      </c>
      <c r="H529" s="4" t="str">
        <f ca="1">CHOOSE(H527,"monthly","quarterly","semiannually")</f>
        <v>semiannually</v>
      </c>
      <c r="I529" s="2" t="s">
        <v>2889</v>
      </c>
    </row>
    <row r="530" spans="1:9" x14ac:dyDescent="0.35">
      <c r="A530" s="14">
        <f ca="1">RANDBETWEEN(40,80)/1000</f>
        <v>5.8000000000000003E-2</v>
      </c>
      <c r="B530" s="2" t="s">
        <v>985</v>
      </c>
      <c r="D530" s="232">
        <f ca="1">D528+D529</f>
        <v>12087.055717480534</v>
      </c>
      <c r="E530" s="2" t="s">
        <v>2722</v>
      </c>
      <c r="H530" s="4">
        <f ca="1">CHOOSE(H527,12,4,2)</f>
        <v>2</v>
      </c>
      <c r="I530" s="2" t="s">
        <v>2890</v>
      </c>
    </row>
    <row r="531" spans="1:9" ht="16" thickBot="1" x14ac:dyDescent="0.4"/>
    <row r="532" spans="1:9" ht="16.5" thickTop="1" thickBot="1" x14ac:dyDescent="0.4">
      <c r="B532" s="76" t="str">
        <f ca="1">[1]!std_ans($C$532)</f>
        <v>C</v>
      </c>
      <c r="C532" s="79" t="str">
        <f ca="1" xml:space="preserve"> "/\" &amp;RANDBETWEEN( 1,120) &amp; "/\" &amp;RANDBETWEEN( 1,120) &amp; "/\" &amp;0.1 &amp; "/\" &amp; A528</f>
        <v>/\109/\91/\0.1/\7650</v>
      </c>
      <c r="D532" s="80" t="s">
        <v>1430</v>
      </c>
    </row>
    <row r="533" spans="1:9" ht="16" thickTop="1" x14ac:dyDescent="0.35">
      <c r="B533" s="110">
        <f ca="1">[1]!stdnum_A($C$532)</f>
        <v>6954.545454545454</v>
      </c>
      <c r="C533" s="82"/>
      <c r="D533" s="77"/>
    </row>
    <row r="534" spans="1:9" x14ac:dyDescent="0.35">
      <c r="B534" s="110">
        <f ca="1">[1]!stdnum_B($C$532)</f>
        <v>5747.5582268970684</v>
      </c>
      <c r="C534" s="82"/>
      <c r="D534" s="77"/>
    </row>
    <row r="535" spans="1:9" x14ac:dyDescent="0.35">
      <c r="B535" s="110">
        <f ca="1">[1]!stdnum_C($C$532)</f>
        <v>7650</v>
      </c>
      <c r="C535" s="82"/>
      <c r="D535" s="77"/>
    </row>
    <row r="536" spans="1:9" x14ac:dyDescent="0.35">
      <c r="B536" s="110">
        <f ca="1">[1]!stdnum_D($C$532)</f>
        <v>8415</v>
      </c>
      <c r="C536" s="82"/>
      <c r="D536" s="77"/>
    </row>
    <row r="537" spans="1:9" ht="16" thickBot="1" x14ac:dyDescent="0.4">
      <c r="B537" s="111">
        <f ca="1">[1]!stdnum_E($C$532)</f>
        <v>6322.3140495867765</v>
      </c>
      <c r="C537" s="84"/>
      <c r="D537" s="78"/>
    </row>
    <row r="538" spans="1:9" ht="16" thickTop="1" x14ac:dyDescent="0.35"/>
    <row r="540" spans="1:9" x14ac:dyDescent="0.35">
      <c r="A540" s="120" t="s">
        <v>1431</v>
      </c>
    </row>
    <row r="541" spans="1:9" x14ac:dyDescent="0.35">
      <c r="D541" s="4">
        <f ca="1">RANDBETWEEN(1,3)</f>
        <v>1</v>
      </c>
    </row>
    <row r="542" spans="1:9" x14ac:dyDescent="0.35">
      <c r="A542" s="20">
        <f ca="1">RANDBETWEEN(10,50)*100</f>
        <v>4500</v>
      </c>
      <c r="B542" s="2" t="s">
        <v>909</v>
      </c>
      <c r="D542" s="4" t="str">
        <f ca="1">CHOOSE(D541,"months","quarters","semiannum")</f>
        <v>months</v>
      </c>
      <c r="E542" s="2" t="s">
        <v>2888</v>
      </c>
    </row>
    <row r="543" spans="1:9" x14ac:dyDescent="0.35">
      <c r="A543" s="4">
        <f ca="1">RANDBETWEEN(10,20)</f>
        <v>12</v>
      </c>
      <c r="B543" s="2" t="s">
        <v>2105</v>
      </c>
      <c r="D543" s="4" t="str">
        <f ca="1">CHOOSE(D541,"monthly","quarterly","semiannually")</f>
        <v>monthly</v>
      </c>
      <c r="E543" s="2" t="s">
        <v>2889</v>
      </c>
    </row>
    <row r="544" spans="1:9" x14ac:dyDescent="0.35">
      <c r="A544" s="7">
        <f ca="1">RANDBETWEEN(40,90)/1000</f>
        <v>7.0999999999999994E-2</v>
      </c>
      <c r="B544" s="2" t="s">
        <v>985</v>
      </c>
      <c r="D544" s="4">
        <f ca="1">CHOOSE(D541,12,4,2)</f>
        <v>12</v>
      </c>
      <c r="E544" s="2" t="s">
        <v>2890</v>
      </c>
    </row>
    <row r="545" spans="1:5" x14ac:dyDescent="0.35">
      <c r="A545" s="20">
        <f ca="1">A542/(1+A544/D544)^(A543*D544)</f>
        <v>1924.3495195523146</v>
      </c>
      <c r="B545" s="2" t="s">
        <v>596</v>
      </c>
    </row>
    <row r="546" spans="1:5" ht="16" thickBot="1" x14ac:dyDescent="0.4"/>
    <row r="547" spans="1:5" ht="16.5" thickTop="1" thickBot="1" x14ac:dyDescent="0.4">
      <c r="B547" s="76" t="str">
        <f ca="1">[1]!std_ans($C$547)</f>
        <v>C</v>
      </c>
      <c r="C547" s="79" t="str">
        <f ca="1" xml:space="preserve"> "/\" &amp;RANDBETWEEN( 1,120) &amp; "/\" &amp;RANDBETWEEN( 1,120) &amp; "/\" &amp;0.1 &amp; "/\" &amp; A545</f>
        <v>/\32/\46/\0.1/\1924.34951955231</v>
      </c>
      <c r="D547" s="80" t="s">
        <v>1432</v>
      </c>
    </row>
    <row r="548" spans="1:5" ht="16" thickTop="1" x14ac:dyDescent="0.35">
      <c r="B548" s="110">
        <f ca="1">[1]!stdnum_A($C$547)</f>
        <v>2561.3092105241253</v>
      </c>
      <c r="C548" s="82"/>
      <c r="D548" s="77"/>
    </row>
    <row r="549" spans="1:5" x14ac:dyDescent="0.35">
      <c r="B549" s="110">
        <f ca="1">[1]!stdnum_B($C$547)</f>
        <v>2116.7844715075412</v>
      </c>
      <c r="C549" s="82"/>
      <c r="D549" s="77"/>
    </row>
    <row r="550" spans="1:5" x14ac:dyDescent="0.35">
      <c r="B550" s="110">
        <f ca="1">[1]!stdnum_C($C$547)</f>
        <v>1924.3495195523101</v>
      </c>
      <c r="C550" s="82"/>
      <c r="D550" s="77"/>
    </row>
    <row r="551" spans="1:5" x14ac:dyDescent="0.35">
      <c r="B551" s="110">
        <f ca="1">[1]!stdnum_D($C$547)</f>
        <v>1749.4086541384636</v>
      </c>
      <c r="C551" s="82"/>
      <c r="D551" s="77"/>
    </row>
    <row r="552" spans="1:5" ht="16" thickBot="1" x14ac:dyDescent="0.4">
      <c r="B552" s="111">
        <f ca="1">[1]!stdnum_E($C$547)</f>
        <v>2328.4629186582956</v>
      </c>
      <c r="C552" s="84"/>
      <c r="D552" s="78"/>
    </row>
    <row r="553" spans="1:5" ht="16" thickTop="1" x14ac:dyDescent="0.35"/>
    <row r="555" spans="1:5" x14ac:dyDescent="0.35">
      <c r="A555" s="120" t="s">
        <v>775</v>
      </c>
    </row>
    <row r="556" spans="1:5" x14ac:dyDescent="0.35">
      <c r="D556" s="4">
        <f ca="1">RANDBETWEEN(1,3)</f>
        <v>2</v>
      </c>
    </row>
    <row r="557" spans="1:5" x14ac:dyDescent="0.35">
      <c r="A557" s="20">
        <f ca="1">RANDBETWEEN(10,50)*150</f>
        <v>1500</v>
      </c>
      <c r="B557" s="2" t="s">
        <v>909</v>
      </c>
      <c r="D557" s="4" t="str">
        <f ca="1">CHOOSE(D556,"months","quarters","semiannum")</f>
        <v>quarters</v>
      </c>
      <c r="E557" s="2" t="s">
        <v>2888</v>
      </c>
    </row>
    <row r="558" spans="1:5" x14ac:dyDescent="0.35">
      <c r="A558" s="4">
        <f ca="1">RANDBETWEEN(4,12)</f>
        <v>8</v>
      </c>
      <c r="B558" s="2" t="s">
        <v>2105</v>
      </c>
      <c r="D558" s="4" t="str">
        <f ca="1">CHOOSE(D556,"monthly","quarterly","semiannually")</f>
        <v>quarterly</v>
      </c>
      <c r="E558" s="2" t="s">
        <v>2889</v>
      </c>
    </row>
    <row r="559" spans="1:5" x14ac:dyDescent="0.35">
      <c r="A559" s="7">
        <f ca="1">RANDBETWEEN(70,150)/1000</f>
        <v>9.2999999999999999E-2</v>
      </c>
      <c r="B559" s="2" t="s">
        <v>985</v>
      </c>
      <c r="D559" s="4">
        <f ca="1">CHOOSE(D556,12,4,2)</f>
        <v>4</v>
      </c>
      <c r="E559" s="2" t="s">
        <v>2890</v>
      </c>
    </row>
    <row r="560" spans="1:5" x14ac:dyDescent="0.35">
      <c r="A560" s="20">
        <f ca="1">A557/(1+A559/D559)^(A558*D559)</f>
        <v>718.91103995059439</v>
      </c>
      <c r="B560" s="2" t="s">
        <v>596</v>
      </c>
    </row>
    <row r="561" spans="1:9" ht="16" thickBot="1" x14ac:dyDescent="0.4"/>
    <row r="562" spans="1:9" ht="16.5" thickTop="1" thickBot="1" x14ac:dyDescent="0.4">
      <c r="B562" s="76" t="str">
        <f ca="1">[1]!std_ans($C$562)</f>
        <v>C</v>
      </c>
      <c r="C562" s="79" t="str">
        <f ca="1" xml:space="preserve"> "/\" &amp;RANDBETWEEN( 1,120) &amp; "/\" &amp;RANDBETWEEN( 1,120) &amp; "/\" &amp;0.1 &amp; "/\" &amp; A560</f>
        <v>/\61/\45/\0.1/\718.911039950594</v>
      </c>
      <c r="D562" s="80" t="s">
        <v>776</v>
      </c>
    </row>
    <row r="563" spans="1:9" ht="16" thickTop="1" x14ac:dyDescent="0.35">
      <c r="B563" s="110">
        <f ca="1">[1]!stdnum_A($C$562)</f>
        <v>790.80214394565348</v>
      </c>
      <c r="C563" s="82"/>
      <c r="D563" s="77"/>
    </row>
    <row r="564" spans="1:9" x14ac:dyDescent="0.35">
      <c r="B564" s="110">
        <f ca="1">[1]!stdnum_B($C$562)</f>
        <v>653.55549086417636</v>
      </c>
      <c r="C564" s="82"/>
      <c r="D564" s="77"/>
    </row>
    <row r="565" spans="1:9" x14ac:dyDescent="0.35">
      <c r="B565" s="110">
        <f ca="1">[1]!stdnum_C($C$562)</f>
        <v>718.91103995059404</v>
      </c>
      <c r="C565" s="82"/>
      <c r="D565" s="77"/>
    </row>
    <row r="566" spans="1:9" x14ac:dyDescent="0.35">
      <c r="B566" s="110">
        <f ca="1">[1]!stdnum_D($C$562)</f>
        <v>956.87059417424098</v>
      </c>
      <c r="C566" s="82"/>
      <c r="D566" s="77"/>
    </row>
    <row r="567" spans="1:9" ht="16" thickBot="1" x14ac:dyDescent="0.4">
      <c r="B567" s="111">
        <f ca="1">[1]!stdnum_E($C$562)</f>
        <v>869.88235834021896</v>
      </c>
      <c r="C567" s="84"/>
      <c r="D567" s="78"/>
    </row>
    <row r="568" spans="1:9" ht="16" thickTop="1" x14ac:dyDescent="0.35"/>
    <row r="570" spans="1:9" x14ac:dyDescent="0.35">
      <c r="A570" s="120" t="s">
        <v>3583</v>
      </c>
    </row>
    <row r="571" spans="1:9" x14ac:dyDescent="0.35">
      <c r="A571" s="8">
        <f ca="1">RANDBETWEEN(300,800)*50</f>
        <v>31900</v>
      </c>
      <c r="B571" s="2" t="s">
        <v>596</v>
      </c>
      <c r="D571" s="24">
        <f ca="1">A571*(1+A573/H574)^(A572-1)</f>
        <v>44058.206798028055</v>
      </c>
      <c r="E571" s="2" t="s">
        <v>269</v>
      </c>
      <c r="H571" s="4">
        <f ca="1">RANDBETWEEN(1,3)</f>
        <v>2</v>
      </c>
    </row>
    <row r="572" spans="1:9" x14ac:dyDescent="0.35">
      <c r="A572" s="265">
        <f ca="1">RANDBETWEEN(4,12)*H574+RANDBETWEEN(1,H574)</f>
        <v>26</v>
      </c>
      <c r="B572" s="2" t="s">
        <v>2106</v>
      </c>
      <c r="D572" s="13">
        <f ca="1">ROUND(A573*D571/H574,2)</f>
        <v>572.76</v>
      </c>
      <c r="E572" s="2" t="s">
        <v>2894</v>
      </c>
      <c r="H572" s="4" t="str">
        <f ca="1">CHOOSE(H571,"months","quarters","semiannum")</f>
        <v>quarters</v>
      </c>
      <c r="I572" s="2" t="s">
        <v>2888</v>
      </c>
    </row>
    <row r="573" spans="1:9" x14ac:dyDescent="0.35">
      <c r="A573" s="14">
        <f ca="1">RANDBETWEEN(50,120)/1000</f>
        <v>5.1999999999999998E-2</v>
      </c>
      <c r="B573" s="2" t="s">
        <v>985</v>
      </c>
      <c r="D573" s="270">
        <f ca="1">A572/H574</f>
        <v>6.5</v>
      </c>
      <c r="H573" s="4" t="str">
        <f ca="1">CHOOSE(H571,"monthly","quarterly","semiannually")</f>
        <v>quarterly</v>
      </c>
      <c r="I573" s="2" t="s">
        <v>2889</v>
      </c>
    </row>
    <row r="574" spans="1:9" x14ac:dyDescent="0.35">
      <c r="D574" s="29"/>
      <c r="H574" s="4">
        <f ca="1">CHOOSE(H571,12,4,2)</f>
        <v>4</v>
      </c>
      <c r="I574" s="2" t="s">
        <v>2890</v>
      </c>
    </row>
    <row r="575" spans="1:9" ht="16" thickBot="1" x14ac:dyDescent="0.4"/>
    <row r="576" spans="1:9" ht="16.5" thickTop="1" thickBot="1" x14ac:dyDescent="0.4">
      <c r="B576" s="76" t="str">
        <f ca="1">[1]!std_ans($C$576)</f>
        <v>A</v>
      </c>
      <c r="C576" s="79" t="str">
        <f ca="1" xml:space="preserve"> "/\" &amp;RANDBETWEEN( 1,120) &amp; "/\" &amp;RANDBETWEEN( 1,120) &amp; "/\" &amp;0.1 &amp; "/\" &amp; D573</f>
        <v>/\1/\29/\0.1/\6.5</v>
      </c>
      <c r="D576" s="80" t="s">
        <v>3584</v>
      </c>
    </row>
    <row r="577" spans="1:9" ht="16" thickTop="1" x14ac:dyDescent="0.35">
      <c r="B577" s="273">
        <f ca="1">[1]!stdnum_A($C$576)</f>
        <v>6.5</v>
      </c>
      <c r="C577" s="82"/>
      <c r="D577" s="77"/>
    </row>
    <row r="578" spans="1:9" x14ac:dyDescent="0.35">
      <c r="B578" s="273">
        <f ca="1">[1]!stdnum_B($C$576)</f>
        <v>5.9090909090909092</v>
      </c>
      <c r="C578" s="82"/>
      <c r="D578" s="77"/>
    </row>
    <row r="579" spans="1:9" x14ac:dyDescent="0.35">
      <c r="B579" s="273">
        <f ca="1">[1]!stdnum_C($C$576)</f>
        <v>8.6515000000000022</v>
      </c>
      <c r="C579" s="82"/>
      <c r="D579" s="77"/>
    </row>
    <row r="580" spans="1:9" x14ac:dyDescent="0.35">
      <c r="B580" s="273">
        <f ca="1">[1]!stdnum_D($C$576)</f>
        <v>7.15</v>
      </c>
      <c r="C580" s="82"/>
      <c r="D580" s="77"/>
    </row>
    <row r="581" spans="1:9" ht="16" thickBot="1" x14ac:dyDescent="0.4">
      <c r="B581" s="274">
        <f ca="1">[1]!stdnum_E($C$576)</f>
        <v>7.8650000000000011</v>
      </c>
      <c r="C581" s="84"/>
      <c r="D581" s="78"/>
    </row>
    <row r="582" spans="1:9" ht="16" thickTop="1" x14ac:dyDescent="0.35"/>
    <row r="584" spans="1:9" x14ac:dyDescent="0.35">
      <c r="A584" s="120" t="s">
        <v>1693</v>
      </c>
    </row>
    <row r="585" spans="1:9" x14ac:dyDescent="0.35">
      <c r="A585" s="8">
        <f ca="1">RANDBETWEEN(300,800)*200</f>
        <v>108400</v>
      </c>
      <c r="B585" s="2" t="s">
        <v>596</v>
      </c>
      <c r="D585" s="24">
        <f ca="1">A585*(1+A587/H588)^A586</f>
        <v>253381.33932428554</v>
      </c>
      <c r="E585" s="2" t="s">
        <v>909</v>
      </c>
      <c r="H585" s="4">
        <f ca="1">RANDBETWEEN(1,3)</f>
        <v>3</v>
      </c>
    </row>
    <row r="586" spans="1:9" x14ac:dyDescent="0.35">
      <c r="A586" s="265">
        <f ca="1">RANDBETWEEN(7,20)*H588+RANDBETWEEN(1,H588)</f>
        <v>16</v>
      </c>
      <c r="B586" s="2" t="s">
        <v>597</v>
      </c>
      <c r="D586" s="24">
        <f ca="1">D585-A585</f>
        <v>144981.33932428554</v>
      </c>
      <c r="E586" s="2" t="s">
        <v>2145</v>
      </c>
      <c r="H586" s="4" t="str">
        <f ca="1">CHOOSE(H585,"months","quarters","semiannum")</f>
        <v>semiannum</v>
      </c>
      <c r="I586" s="2" t="s">
        <v>2888</v>
      </c>
    </row>
    <row r="587" spans="1:9" x14ac:dyDescent="0.35">
      <c r="A587" s="14">
        <f ca="1">RANDBETWEEN(50,110)/1000</f>
        <v>0.109</v>
      </c>
      <c r="B587" s="2" t="s">
        <v>985</v>
      </c>
      <c r="D587" s="271">
        <f ca="1">A586/H588</f>
        <v>8</v>
      </c>
      <c r="H587" s="4" t="str">
        <f ca="1">CHOOSE(H585,"monthly","quarterly","semiannually")</f>
        <v>semiannually</v>
      </c>
      <c r="I587" s="2" t="s">
        <v>2889</v>
      </c>
    </row>
    <row r="588" spans="1:9" x14ac:dyDescent="0.35">
      <c r="D588" s="29"/>
      <c r="H588" s="4">
        <f ca="1">CHOOSE(H585,12,4,2)</f>
        <v>2</v>
      </c>
      <c r="I588" s="2" t="s">
        <v>2890</v>
      </c>
    </row>
    <row r="589" spans="1:9" ht="16" thickBot="1" x14ac:dyDescent="0.4"/>
    <row r="590" spans="1:9" ht="16.5" thickTop="1" thickBot="1" x14ac:dyDescent="0.4">
      <c r="B590" s="76" t="str">
        <f ca="1">[1]!std_ans($C$590)</f>
        <v>C</v>
      </c>
      <c r="C590" s="79" t="str">
        <f ca="1" xml:space="preserve"> "/\" &amp;RANDBETWEEN( 1,120) &amp; "/\" &amp;RANDBETWEEN( 1,120) &amp; "/\" &amp;0.1 &amp; "/\" &amp; D587</f>
        <v>/\115/\31/\0.1/\8</v>
      </c>
      <c r="D590" s="80" t="s">
        <v>1694</v>
      </c>
    </row>
    <row r="591" spans="1:9" ht="16" thickTop="1" x14ac:dyDescent="0.35">
      <c r="B591" s="273">
        <f ca="1">[1]!stdnum_A($C$590)</f>
        <v>10.648000000000003</v>
      </c>
      <c r="C591" s="82"/>
      <c r="D591" s="77"/>
    </row>
    <row r="592" spans="1:9" x14ac:dyDescent="0.35">
      <c r="B592" s="273">
        <f ca="1">[1]!stdnum_B($C$590)</f>
        <v>9.6800000000000015</v>
      </c>
      <c r="C592" s="82"/>
      <c r="D592" s="77"/>
    </row>
    <row r="593" spans="1:5" x14ac:dyDescent="0.35">
      <c r="B593" s="273">
        <f ca="1">[1]!stdnum_C($C$590)</f>
        <v>8</v>
      </c>
      <c r="C593" s="82"/>
      <c r="D593" s="77"/>
    </row>
    <row r="594" spans="1:5" x14ac:dyDescent="0.35">
      <c r="B594" s="273">
        <f ca="1">[1]!stdnum_D($C$590)</f>
        <v>8.8000000000000007</v>
      </c>
      <c r="C594" s="82"/>
      <c r="D594" s="77"/>
    </row>
    <row r="595" spans="1:5" ht="16" thickBot="1" x14ac:dyDescent="0.4">
      <c r="B595" s="274">
        <f ca="1">[1]!stdnum_E($C$590)</f>
        <v>7.2727272727272725</v>
      </c>
      <c r="C595" s="84"/>
      <c r="D595" s="78"/>
    </row>
    <row r="596" spans="1:5" ht="16" thickTop="1" x14ac:dyDescent="0.35"/>
    <row r="598" spans="1:5" x14ac:dyDescent="0.35">
      <c r="A598" s="120" t="s">
        <v>1695</v>
      </c>
    </row>
    <row r="599" spans="1:5" x14ac:dyDescent="0.35">
      <c r="D599" s="4">
        <f ca="1">RANDBETWEEN(1,3)</f>
        <v>3</v>
      </c>
    </row>
    <row r="600" spans="1:5" x14ac:dyDescent="0.35">
      <c r="A600" s="20">
        <f ca="1">RANDBETWEEN(10,50)*150</f>
        <v>5550</v>
      </c>
      <c r="B600" s="2" t="s">
        <v>596</v>
      </c>
      <c r="D600" s="4" t="str">
        <f ca="1">CHOOSE(D599,"months","quarters","semiannum")</f>
        <v>semiannum</v>
      </c>
      <c r="E600" s="2" t="s">
        <v>2888</v>
      </c>
    </row>
    <row r="601" spans="1:5" x14ac:dyDescent="0.35">
      <c r="A601" s="272">
        <f ca="1">RANDBETWEEN(4,12)+(RANDBETWEEN(1,D602)/D602)</f>
        <v>4.5</v>
      </c>
      <c r="B601" s="2" t="s">
        <v>2105</v>
      </c>
      <c r="D601" s="4" t="str">
        <f ca="1">CHOOSE(D599,"monthly","quarterly","semiannually")</f>
        <v>semiannually</v>
      </c>
      <c r="E601" s="2" t="s">
        <v>2889</v>
      </c>
    </row>
    <row r="602" spans="1:5" x14ac:dyDescent="0.35">
      <c r="A602" s="7">
        <f ca="1">RANDBETWEEN(50,150)/1000</f>
        <v>5.5E-2</v>
      </c>
      <c r="B602" s="2" t="s">
        <v>985</v>
      </c>
      <c r="D602" s="4">
        <f ca="1">CHOOSE(D599,12,4,2)</f>
        <v>2</v>
      </c>
      <c r="E602" s="2" t="s">
        <v>2890</v>
      </c>
    </row>
    <row r="603" spans="1:5" x14ac:dyDescent="0.35">
      <c r="A603" s="20">
        <f ca="1">A600*(1+A602/D602)^(A601*D602)</f>
        <v>7084.8303949942483</v>
      </c>
      <c r="B603" s="2" t="s">
        <v>909</v>
      </c>
      <c r="D603" s="10">
        <f ca="1">A603-A600</f>
        <v>1534.8303949942483</v>
      </c>
      <c r="E603" s="2" t="s">
        <v>1445</v>
      </c>
    </row>
    <row r="604" spans="1:5" ht="16" thickBot="1" x14ac:dyDescent="0.4"/>
    <row r="605" spans="1:5" ht="16.5" thickTop="1" thickBot="1" x14ac:dyDescent="0.4">
      <c r="B605" s="76" t="str">
        <f ca="1">[1]!std_ans($C$605)</f>
        <v>C</v>
      </c>
      <c r="C605" s="79" t="str">
        <f ca="1" xml:space="preserve"> "/\" &amp;RANDBETWEEN( 1,120) &amp; "/\" &amp;RANDBETWEEN( 1,120) &amp; "/\" &amp;0.1 &amp; "/\" &amp; A601</f>
        <v>/\103/\10/\0.1/\4.5</v>
      </c>
      <c r="D605" s="80" t="s">
        <v>1696</v>
      </c>
    </row>
    <row r="606" spans="1:5" ht="16" thickTop="1" x14ac:dyDescent="0.35">
      <c r="B606" s="273">
        <f ca="1">[1]!stdnum_A($C$605)</f>
        <v>4.95</v>
      </c>
      <c r="C606" s="82"/>
      <c r="D606" s="77"/>
    </row>
    <row r="607" spans="1:5" x14ac:dyDescent="0.35">
      <c r="B607" s="273">
        <f ca="1">[1]!stdnum_B($C$605)</f>
        <v>5.4450000000000012</v>
      </c>
      <c r="C607" s="82"/>
      <c r="D607" s="77"/>
    </row>
    <row r="608" spans="1:5" x14ac:dyDescent="0.35">
      <c r="B608" s="273">
        <f ca="1">[1]!stdnum_C($C$605)</f>
        <v>4.5</v>
      </c>
      <c r="C608" s="82"/>
      <c r="D608" s="77"/>
    </row>
    <row r="609" spans="1:9" x14ac:dyDescent="0.35">
      <c r="B609" s="273">
        <f ca="1">[1]!stdnum_D($C$605)</f>
        <v>5.9895000000000014</v>
      </c>
      <c r="C609" s="82"/>
      <c r="D609" s="77"/>
    </row>
    <row r="610" spans="1:9" ht="16" thickBot="1" x14ac:dyDescent="0.4">
      <c r="B610" s="274">
        <f ca="1">[1]!stdnum_E($C$605)</f>
        <v>6.5884500000000017</v>
      </c>
      <c r="C610" s="84"/>
      <c r="D610" s="78"/>
    </row>
    <row r="611" spans="1:9" ht="16" thickTop="1" x14ac:dyDescent="0.35"/>
    <row r="613" spans="1:9" x14ac:dyDescent="0.35">
      <c r="A613" s="120" t="s">
        <v>2531</v>
      </c>
    </row>
    <row r="614" spans="1:9" x14ac:dyDescent="0.35">
      <c r="B614" s="22" t="s">
        <v>2102</v>
      </c>
      <c r="E614" s="22" t="s">
        <v>64</v>
      </c>
    </row>
    <row r="615" spans="1:9" x14ac:dyDescent="0.35">
      <c r="A615" s="8">
        <f ca="1">RANDBETWEEN(80,180)*100</f>
        <v>17700</v>
      </c>
      <c r="B615" s="2" t="s">
        <v>3382</v>
      </c>
      <c r="D615" s="8">
        <f ca="1">RANDBETWEEN(80,180)*100</f>
        <v>16600</v>
      </c>
      <c r="E615" s="2" t="s">
        <v>3382</v>
      </c>
      <c r="H615" s="275">
        <f ca="1">A617/4</f>
        <v>4</v>
      </c>
      <c r="I615" s="133" t="str">
        <f>"less, but not one quarter more"</f>
        <v>less, but not one quarter more</v>
      </c>
    </row>
    <row r="616" spans="1:9" x14ac:dyDescent="0.35">
      <c r="A616" s="29">
        <f ca="1">RANDBETWEEN(75,105)/1000</f>
        <v>8.6999999999999994E-2</v>
      </c>
      <c r="B616" s="2" t="s">
        <v>3383</v>
      </c>
      <c r="D616" s="29">
        <f ca="1">RANDBETWEEN(75,105)/1000</f>
        <v>7.9000000000000001E-2</v>
      </c>
      <c r="E616" s="2" t="s">
        <v>3383</v>
      </c>
      <c r="H616" s="2" t="str">
        <f ca="1">CHOOSE(RANDBETWEEN(1,2),"more","less")</f>
        <v>more</v>
      </c>
      <c r="I616" s="133" t="str">
        <f ca="1">H616&amp;", but not one quarter "&amp;H617</f>
        <v>more, but not one quarter less</v>
      </c>
    </row>
    <row r="617" spans="1:9" x14ac:dyDescent="0.35">
      <c r="A617" s="2">
        <f ca="1">RANDBETWEEN(12,26)</f>
        <v>16</v>
      </c>
      <c r="B617" s="2" t="s">
        <v>2941</v>
      </c>
      <c r="D617" s="2">
        <f ca="1">RANDBETWEEN(4,12)</f>
        <v>9</v>
      </c>
      <c r="E617" s="2" t="s">
        <v>1494</v>
      </c>
      <c r="H617" s="2" t="str">
        <f ca="1">IF(H616="less","more","less")</f>
        <v>less</v>
      </c>
    </row>
    <row r="618" spans="1:9" x14ac:dyDescent="0.35">
      <c r="A618" s="8">
        <f ca="1">ROUND(A615*(1+A616/4)^A617,-1)</f>
        <v>24970</v>
      </c>
      <c r="B618" s="2" t="s">
        <v>1594</v>
      </c>
      <c r="D618" s="8">
        <f ca="1">ROUND(D615*(1+D616)^D617,-1)</f>
        <v>32910</v>
      </c>
      <c r="E618" s="2" t="s">
        <v>1594</v>
      </c>
    </row>
    <row r="619" spans="1:9" ht="16" thickBot="1" x14ac:dyDescent="0.4"/>
    <row r="620" spans="1:9" ht="16.5" thickTop="1" thickBot="1" x14ac:dyDescent="0.4">
      <c r="B620" s="76" t="str">
        <f ca="1">[1]!alpha_ans($C$620)</f>
        <v>D</v>
      </c>
      <c r="C620" s="79" t="str">
        <f ca="1" xml:space="preserve"> "/\" &amp;RANDBETWEEN( 1,5) &amp; "/\" &amp;RANDBETWEEN( 1,120) &amp; "/\" &amp;RANDBETWEEN( 1,6) &amp; "/\" &amp;RANDBETWEEN( 1,2) &amp; "/\" &amp; H615 &amp; "/\" &amp; "Mask" &amp; "/\" &amp; "Mask" &amp; "/\" &amp; I615 &amp; "/\" &amp; I616</f>
        <v>/\4/\49/\3/\2/\4/\Mask/\Mask/\less, but not one quarter more/\more, but not one quarter less</v>
      </c>
      <c r="D620" s="80" t="s">
        <v>2532</v>
      </c>
    </row>
    <row r="621" spans="1:9" ht="16" thickTop="1" x14ac:dyDescent="0.35">
      <c r="B621" s="273">
        <f ca="1">[1]!onepair_A($C$620)</f>
        <v>3.47826086956522</v>
      </c>
      <c r="C621" s="82" t="str">
        <f ca="1">[1]!onepair_A2($C$620)</f>
        <v>more, but not one quarter less</v>
      </c>
      <c r="D621" s="77"/>
    </row>
    <row r="622" spans="1:9" x14ac:dyDescent="0.35">
      <c r="B622" s="273">
        <f ca="1">[1]!onepair_B($C$620)</f>
        <v>4</v>
      </c>
      <c r="C622" s="82" t="str">
        <f ca="1">[1]!onepair_B2($C$620)</f>
        <v>more, but not one quarter less</v>
      </c>
      <c r="D622" s="77"/>
    </row>
    <row r="623" spans="1:9" x14ac:dyDescent="0.35">
      <c r="B623" s="273">
        <f ca="1">[1]!onepair_C($C$620)</f>
        <v>3.47826086956522</v>
      </c>
      <c r="C623" s="82" t="str">
        <f ca="1">[1]!onepair_C2($C$620)</f>
        <v>less, but not one quarter more</v>
      </c>
      <c r="D623" s="77"/>
    </row>
    <row r="624" spans="1:9" x14ac:dyDescent="0.35">
      <c r="B624" s="273">
        <f ca="1">[1]!onepair_D($C$620)</f>
        <v>4</v>
      </c>
      <c r="C624" s="82" t="str">
        <f ca="1">[1]!onepair_D2($C$620)</f>
        <v>less, but not one quarter more</v>
      </c>
      <c r="D624" s="77"/>
    </row>
    <row r="625" spans="1:16" ht="16" thickBot="1" x14ac:dyDescent="0.4">
      <c r="B625" s="274">
        <f ca="1">[1]!onepair_E($C$620)</f>
        <v>4.5999999999999996</v>
      </c>
      <c r="C625" s="84" t="str">
        <f ca="1">[1]!onepair_E2($C$620)</f>
        <v>more, but not one quarter less</v>
      </c>
      <c r="D625" s="78"/>
    </row>
    <row r="626" spans="1:16" ht="16" thickTop="1" x14ac:dyDescent="0.35"/>
    <row r="628" spans="1:16" x14ac:dyDescent="0.35">
      <c r="A628" s="88" t="s">
        <v>3478</v>
      </c>
    </row>
    <row r="629" spans="1:16" x14ac:dyDescent="0.35">
      <c r="A629" s="8">
        <v>1000</v>
      </c>
      <c r="B629" s="2" t="s">
        <v>596</v>
      </c>
      <c r="D629" s="24">
        <v>2000</v>
      </c>
      <c r="E629" s="2" t="s">
        <v>909</v>
      </c>
      <c r="F629" s="2" t="str">
        <f ca="1">IF(F631=0,"annual percentage rate","effective annual rate")</f>
        <v>annual percentage rate</v>
      </c>
    </row>
    <row r="630" spans="1:16" x14ac:dyDescent="0.35">
      <c r="A630" s="6" t="str">
        <f ca="1">IF(C632=0,"quarterly","monthly")</f>
        <v>quarterly</v>
      </c>
      <c r="B630" s="2" t="s">
        <v>2103</v>
      </c>
      <c r="D630" s="19">
        <f ca="1">((D629/A629)^(1/A633)-1)*A631</f>
        <v>6.3512332422205553E-2</v>
      </c>
      <c r="E630" s="2" t="s">
        <v>2104</v>
      </c>
      <c r="F630" s="29">
        <f ca="1">IF(F631=0,D630,D631)</f>
        <v>6.3512332422205553E-2</v>
      </c>
    </row>
    <row r="631" spans="1:16" x14ac:dyDescent="0.35">
      <c r="A631" s="2">
        <f ca="1">IF(C632=0,4,12)</f>
        <v>4</v>
      </c>
      <c r="B631" s="2" t="s">
        <v>2103</v>
      </c>
      <c r="D631" s="19">
        <f ca="1">(D629/A629)^(1/A632)-1</f>
        <v>6.5041089439962674E-2</v>
      </c>
      <c r="E631" s="2" t="s">
        <v>2107</v>
      </c>
      <c r="F631" s="2">
        <f ca="1">(RANDBETWEEN(0,1))</f>
        <v>0</v>
      </c>
    </row>
    <row r="632" spans="1:16" x14ac:dyDescent="0.35">
      <c r="A632" s="265">
        <f ca="1">RANDBETWEEN(4,14)</f>
        <v>11</v>
      </c>
      <c r="B632" s="2" t="s">
        <v>2105</v>
      </c>
      <c r="C632" s="2">
        <f ca="1">(RANDBETWEEN(0,1))</f>
        <v>0</v>
      </c>
      <c r="D632" s="29"/>
    </row>
    <row r="633" spans="1:16" x14ac:dyDescent="0.35">
      <c r="A633" s="265">
        <f ca="1">A632*A631</f>
        <v>44</v>
      </c>
      <c r="B633" s="2" t="s">
        <v>2106</v>
      </c>
      <c r="D633" s="29"/>
    </row>
    <row r="635" spans="1:16" ht="16" thickBot="1" x14ac:dyDescent="0.4">
      <c r="B635" s="120" t="s">
        <v>3477</v>
      </c>
      <c r="F635" s="120" t="s">
        <v>3480</v>
      </c>
      <c r="J635" s="120" t="s">
        <v>1146</v>
      </c>
      <c r="N635" s="120" t="s">
        <v>521</v>
      </c>
    </row>
    <row r="636" spans="1:16" ht="16.5" thickTop="1" thickBot="1" x14ac:dyDescent="0.4">
      <c r="B636" s="76" t="str">
        <f ca="1">[1]!std_ans($C$636)</f>
        <v>A</v>
      </c>
      <c r="C636" s="79" t="str">
        <f ca="1" xml:space="preserve"> "/\" &amp;RANDBETWEEN( 1,120) &amp; "/\" &amp;RANDBETWEEN( 1,120) &amp; "/\" &amp;0.1 &amp; "/\" &amp; D630</f>
        <v>/\8/\81/\0.1/\0.0635123324222056</v>
      </c>
      <c r="D636" s="80" t="s">
        <v>3479</v>
      </c>
      <c r="F636" s="76" t="str">
        <f ca="1">[1]!std_ans($G$636)</f>
        <v>B</v>
      </c>
      <c r="G636" s="79" t="str">
        <f ca="1" xml:space="preserve"> "/\" &amp;RANDBETWEEN( 1,120) &amp; "/\" &amp;RANDBETWEEN( 1,120) &amp; "/\" &amp;0.1 &amp; "/\" &amp; D631</f>
        <v>/\54/\57/\0.1/\0.0650410894399627</v>
      </c>
      <c r="H636" s="80" t="s">
        <v>618</v>
      </c>
      <c r="J636" s="76" t="str">
        <f ca="1">[1]!std_ans($K$636)</f>
        <v>D</v>
      </c>
      <c r="K636" s="79" t="str">
        <f ca="1" xml:space="preserve"> "/\" &amp;RANDBETWEEN( 1,120) &amp; "/\" &amp;RANDBETWEEN( 1,120) &amp; "/\" &amp;0.1 &amp; "/\" &amp; F630</f>
        <v>/\111/\78/\0.1/\0.0635123324222056</v>
      </c>
      <c r="L636" s="80" t="s">
        <v>1147</v>
      </c>
      <c r="N636" s="76" t="str">
        <f ca="1">[1]!alpha_ans($O$636)</f>
        <v>A</v>
      </c>
      <c r="O636" s="79" t="str">
        <f ca="1" xml:space="preserve"> "/\" &amp;RANDBETWEEN( 1,5) &amp; "/\" &amp;RANDBETWEEN( 1,120) &amp; "/\" &amp;RANDBETWEEN( 1,6) &amp; "/\" &amp;RANDBETWEEN( 1,2) &amp; "/\" &amp; D630 &amp; "/\" &amp; "Mask" &amp; "/\" &amp; "Mask" &amp; "/\" &amp; D631 &amp; "/\" &amp; "Mask"</f>
        <v>/\1/\84/\4/\1/\0.0635123324222056/\Mask/\Mask/\0.0650410894399627/\Mask</v>
      </c>
      <c r="P636" s="80" t="s">
        <v>522</v>
      </c>
    </row>
    <row r="637" spans="1:16" ht="16" thickTop="1" x14ac:dyDescent="0.35">
      <c r="B637" s="134">
        <f ca="1">[1]!stdnum_A($C$636)</f>
        <v>6.3512332422205595E-2</v>
      </c>
      <c r="C637" s="82"/>
      <c r="D637" s="77"/>
      <c r="F637" s="134">
        <f ca="1">[1]!stdnum_A($G$636)</f>
        <v>7.154519838395898E-2</v>
      </c>
      <c r="G637" s="82"/>
      <c r="H637" s="77"/>
      <c r="J637" s="134">
        <f ca="1">[1]!stdnum_A($K$636)</f>
        <v>5.2489530927442636E-2</v>
      </c>
      <c r="K637" s="82"/>
      <c r="L637" s="77"/>
      <c r="N637" s="134">
        <f ca="1">[1]!onepair_A($O$636)</f>
        <v>6.3512332422205595E-2</v>
      </c>
      <c r="O637" s="157">
        <f ca="1">[1]!onepair_A2($O$636)</f>
        <v>6.5041089439962702E-2</v>
      </c>
      <c r="P637" s="77"/>
    </row>
    <row r="638" spans="1:16" x14ac:dyDescent="0.35">
      <c r="B638" s="134">
        <f ca="1">[1]!stdnum_B($C$636)</f>
        <v>5.77384840201869E-2</v>
      </c>
      <c r="C638" s="82"/>
      <c r="D638" s="77"/>
      <c r="F638" s="134">
        <f ca="1">[1]!stdnum_B($G$636)</f>
        <v>6.5041089439962702E-2</v>
      </c>
      <c r="G638" s="82"/>
      <c r="H638" s="77"/>
      <c r="J638" s="134">
        <f ca="1">[1]!stdnum_B($K$636)</f>
        <v>6.9863565664426155E-2</v>
      </c>
      <c r="K638" s="82"/>
      <c r="L638" s="77"/>
      <c r="N638" s="134">
        <f ca="1">[1]!onepair_B($O$636)</f>
        <v>7.3039182285536394E-2</v>
      </c>
      <c r="O638" s="157">
        <f ca="1">[1]!onepair_B2($O$636)</f>
        <v>6.5041089439962702E-2</v>
      </c>
      <c r="P638" s="77"/>
    </row>
    <row r="639" spans="1:16" x14ac:dyDescent="0.35">
      <c r="B639" s="134">
        <f ca="1">[1]!stdnum_C($C$636)</f>
        <v>5.2489530927442636E-2</v>
      </c>
      <c r="C639" s="82"/>
      <c r="D639" s="77"/>
      <c r="F639" s="134">
        <f ca="1">[1]!stdnum_C($G$636)</f>
        <v>7.8699718222354886E-2</v>
      </c>
      <c r="G639" s="82"/>
      <c r="H639" s="77"/>
      <c r="J639" s="134">
        <f ca="1">[1]!stdnum_C($K$636)</f>
        <v>4.7717755388584207E-2</v>
      </c>
      <c r="K639" s="82"/>
      <c r="L639" s="77"/>
      <c r="N639" s="134">
        <f ca="1">[1]!onepair_C($O$636)</f>
        <v>5.5228115149744003E-2</v>
      </c>
      <c r="O639" s="157">
        <f ca="1">[1]!onepair_C2($O$636)</f>
        <v>5.6557469078228402E-2</v>
      </c>
      <c r="P639" s="77"/>
    </row>
    <row r="640" spans="1:16" x14ac:dyDescent="0.35">
      <c r="B640" s="134">
        <f ca="1">[1]!stdnum_D($C$636)</f>
        <v>6.9863565664426155E-2</v>
      </c>
      <c r="C640" s="82"/>
      <c r="D640" s="77"/>
      <c r="F640" s="134">
        <f ca="1">[1]!stdnum_D($G$636)</f>
        <v>5.3752966479308009E-2</v>
      </c>
      <c r="G640" s="82"/>
      <c r="H640" s="77"/>
      <c r="J640" s="134">
        <f ca="1">[1]!stdnum_D($K$636)</f>
        <v>6.3512332422205595E-2</v>
      </c>
      <c r="K640" s="82"/>
      <c r="L640" s="77"/>
      <c r="N640" s="134">
        <f ca="1">[1]!onepair_D($O$636)</f>
        <v>7.3039182285536394E-2</v>
      </c>
      <c r="O640" s="157">
        <f ca="1">[1]!onepair_D2($O$636)</f>
        <v>5.6557469078228402E-2</v>
      </c>
      <c r="P640" s="77"/>
    </row>
    <row r="641" spans="1:16" ht="16" thickBot="1" x14ac:dyDescent="0.4">
      <c r="B641" s="135">
        <f ca="1">[1]!stdnum_E($C$636)</f>
        <v>4.7717755388584207E-2</v>
      </c>
      <c r="C641" s="84"/>
      <c r="D641" s="78"/>
      <c r="F641" s="135">
        <f ca="1">[1]!stdnum_E($G$636)</f>
        <v>5.9128263127238817E-2</v>
      </c>
      <c r="G641" s="84"/>
      <c r="H641" s="78"/>
      <c r="J641" s="135">
        <f ca="1">[1]!stdnum_E($K$636)</f>
        <v>5.77384840201869E-2</v>
      </c>
      <c r="K641" s="84"/>
      <c r="L641" s="78"/>
      <c r="N641" s="135">
        <f ca="1">[1]!onepair_E($O$636)</f>
        <v>6.3512332422205595E-2</v>
      </c>
      <c r="O641" s="158">
        <f ca="1">[1]!onepair_E2($O$636)</f>
        <v>5.6557469078228402E-2</v>
      </c>
      <c r="P641" s="78"/>
    </row>
    <row r="642" spans="1:16" ht="16" thickTop="1" x14ac:dyDescent="0.35"/>
    <row r="644" spans="1:16" x14ac:dyDescent="0.35">
      <c r="A644" s="120" t="s">
        <v>2971</v>
      </c>
    </row>
    <row r="645" spans="1:16" x14ac:dyDescent="0.35">
      <c r="A645" s="29">
        <f ca="1">RANDBETWEEN(150,300)*5/10000</f>
        <v>0.13750000000000001</v>
      </c>
      <c r="B645" s="2" t="s">
        <v>2251</v>
      </c>
      <c r="C645" s="2" t="s">
        <v>2255</v>
      </c>
      <c r="D645" s="29">
        <f ca="1">(1+A645/365)^365-1</f>
        <v>0.14737199729224892</v>
      </c>
      <c r="E645" s="2" t="s">
        <v>2252</v>
      </c>
    </row>
    <row r="646" spans="1:16" x14ac:dyDescent="0.35">
      <c r="A646" s="29">
        <f ca="1">12*((1+D645)^(1/12)-1)+(IF(RANDBETWEEN(0,1)=0,1,-1))*0.0005*RANDBETWEEN(1,3)</f>
        <v>0.13976458702985178</v>
      </c>
      <c r="B646" s="2" t="s">
        <v>2250</v>
      </c>
      <c r="C646" s="2" t="s">
        <v>2256</v>
      </c>
      <c r="D646" s="29">
        <f ca="1">(1+A646/12)^12-1</f>
        <v>0.14907460795626393</v>
      </c>
      <c r="E646" s="2" t="s">
        <v>2253</v>
      </c>
    </row>
    <row r="647" spans="1:16" x14ac:dyDescent="0.35">
      <c r="D647" s="25">
        <f ca="1">IF(ABS(D645-D646)*10000&gt;8,ABS(D645-D646)*10000,"#RECALCULATE")</f>
        <v>17.026106640150029</v>
      </c>
      <c r="E647" s="2" t="s">
        <v>491</v>
      </c>
      <c r="G647" s="2" t="s">
        <v>232</v>
      </c>
      <c r="H647" s="2" t="str">
        <f ca="1">IF(D645&lt;D646,"bank X", "bank Y")</f>
        <v>bank X</v>
      </c>
      <c r="I647" s="2" t="str">
        <f ca="1">"smaller, you would prefer to borrow from "&amp;H647</f>
        <v>smaller, you would prefer to borrow from bank X</v>
      </c>
    </row>
    <row r="648" spans="1:16" x14ac:dyDescent="0.35">
      <c r="D648" s="2" t="str">
        <f ca="1">IF(D645&gt;D646,"bigger","smaller")</f>
        <v>smaller</v>
      </c>
      <c r="E648" s="2" t="s">
        <v>2254</v>
      </c>
      <c r="G648" s="2" t="s">
        <v>359</v>
      </c>
      <c r="H648" s="2" t="str">
        <f ca="1">IF(D646&gt;D647,"bank X", "bank Y")</f>
        <v>bank Y</v>
      </c>
      <c r="I648" s="2" t="str">
        <f ca="1">CHOOSE(RANDBETWEEN(1,2),"smaller","bigger")&amp;", you would prefer to borrow from "&amp;H648</f>
        <v>bigger, you would prefer to borrow from bank Y</v>
      </c>
    </row>
    <row r="649" spans="1:16" ht="16" thickBot="1" x14ac:dyDescent="0.4"/>
    <row r="650" spans="1:16" ht="16.5" thickTop="1" thickBot="1" x14ac:dyDescent="0.4">
      <c r="B650" s="76" t="str">
        <f ca="1">[1]!alpha_ans($C$650)</f>
        <v>B</v>
      </c>
      <c r="C650" s="79" t="str">
        <f ca="1" xml:space="preserve"> "/\" &amp;RANDBETWEEN( 1,5) &amp; "/\" &amp;RANDBETWEEN( 1,120) &amp; "/\" &amp;RANDBETWEEN( 1,6) &amp; "/\" &amp;RANDBETWEEN( 1,2) &amp; "/\" &amp; D647 &amp; "/\" &amp; "Mask" &amp; "/\" &amp; "Mask" &amp; "/\" &amp; I647 &amp; "/\" &amp; I648</f>
        <v>/\2/\106/\3/\1/\17.02610664015/\Mask/\Mask/\smaller, you would prefer to borrow from bank X/\bigger, you would prefer to borrow from bank Y</v>
      </c>
      <c r="D650" s="80" t="s">
        <v>2113</v>
      </c>
    </row>
    <row r="651" spans="1:16" ht="16" thickTop="1" x14ac:dyDescent="0.35">
      <c r="B651" s="81">
        <f ca="1">[1]!onepair_A($C$650)</f>
        <v>19.580022636172501</v>
      </c>
      <c r="C651" s="82" t="str">
        <f ca="1">[1]!onepair_A2($C$650)</f>
        <v>bigger, you would prefer to borrow from bank Y</v>
      </c>
      <c r="D651" s="77"/>
    </row>
    <row r="652" spans="1:16" x14ac:dyDescent="0.35">
      <c r="B652" s="81">
        <f ca="1">[1]!onepair_B($C$650)</f>
        <v>17.026106640150001</v>
      </c>
      <c r="C652" s="82" t="str">
        <f ca="1">[1]!onepair_B2($C$650)</f>
        <v>smaller, you would prefer to borrow from bank X</v>
      </c>
      <c r="D652" s="77"/>
    </row>
    <row r="653" spans="1:16" x14ac:dyDescent="0.35">
      <c r="B653" s="81">
        <f ca="1">[1]!onepair_C($C$650)</f>
        <v>14.805310121869599</v>
      </c>
      <c r="C653" s="82" t="str">
        <f ca="1">[1]!onepair_C2($C$650)</f>
        <v>bigger, you would prefer to borrow from bank Y</v>
      </c>
      <c r="D653" s="77"/>
    </row>
    <row r="654" spans="1:16" x14ac:dyDescent="0.35">
      <c r="B654" s="81">
        <f ca="1">[1]!onepair_D($C$650)</f>
        <v>19.580022636172501</v>
      </c>
      <c r="C654" s="82" t="str">
        <f ca="1">[1]!onepair_D2($C$650)</f>
        <v>smaller, you would prefer to borrow from bank X</v>
      </c>
      <c r="D654" s="77"/>
    </row>
    <row r="655" spans="1:16" ht="16" thickBot="1" x14ac:dyDescent="0.4">
      <c r="B655" s="83">
        <f ca="1">[1]!onepair_E($C$650)</f>
        <v>17.026106640150001</v>
      </c>
      <c r="C655" s="84" t="str">
        <f ca="1">[1]!onepair_E2($C$650)</f>
        <v>bigger, you would prefer to borrow from bank Y</v>
      </c>
      <c r="D655" s="78"/>
    </row>
    <row r="656" spans="1:16" ht="16" thickTop="1" x14ac:dyDescent="0.35"/>
    <row r="658" spans="1:13" x14ac:dyDescent="0.35">
      <c r="A658" s="120" t="s">
        <v>2114</v>
      </c>
    </row>
    <row r="659" spans="1:13" x14ac:dyDescent="0.35">
      <c r="A659" s="22" t="s">
        <v>3269</v>
      </c>
      <c r="E659" s="22" t="s">
        <v>1278</v>
      </c>
    </row>
    <row r="660" spans="1:13" x14ac:dyDescent="0.35">
      <c r="A660" s="8">
        <f ca="1">RANDBETWEEN(5,10)*5000</f>
        <v>40000</v>
      </c>
      <c r="B660" s="2" t="s">
        <v>3270</v>
      </c>
      <c r="E660" s="6" t="s">
        <v>2570</v>
      </c>
      <c r="F660" s="29">
        <f ca="1">A661-RANDBETWEEN(5,9)/10000</f>
        <v>8.2900000000000001E-2</v>
      </c>
      <c r="H660" s="2" t="s">
        <v>30</v>
      </c>
      <c r="I660" s="2" t="str">
        <f ca="1">"If the penalty is $"&amp;ROUND(F661,0)&amp;" and the interest rate is "&amp;ROUND(F660*100,2)&amp;"% or more compounded monthly, then it always is worth switching."</f>
        <v>If the penalty is $271 and the interest rate is 8.29% or more compounded monthly, then it always is worth switching.</v>
      </c>
    </row>
    <row r="661" spans="1:13" x14ac:dyDescent="0.35">
      <c r="A661" s="29">
        <f ca="1">RANDBETWEEN(700,1000)/10000</f>
        <v>8.3699999999999997E-2</v>
      </c>
      <c r="B661" s="2" t="s">
        <v>2066</v>
      </c>
      <c r="E661" s="6" t="s">
        <v>2944</v>
      </c>
      <c r="F661" s="24">
        <f ca="1">IF(A660-A663/(1+F660/12)^(A662*12)&gt;0,FLOOR(A660-A663/(1+F660/12)^(A662*12),1),"#RECALCULATE")</f>
        <v>271</v>
      </c>
      <c r="H661" s="2" t="s">
        <v>1105</v>
      </c>
      <c r="I661" s="2" t="str">
        <f ca="1">"If the penalty is $"&amp;ROUND(F661,0)&amp;" and the interest rate is "&amp;ROUND(F667*100,2)&amp;"% or more compounded monthly, then it always is worth switching."</f>
        <v>If the penalty is $271 and the interest rate is 8.18% or more compounded monthly, then it always is worth switching.</v>
      </c>
    </row>
    <row r="662" spans="1:13" x14ac:dyDescent="0.35">
      <c r="A662" s="2">
        <f ca="1">RANDBETWEEN(8,15)</f>
        <v>11</v>
      </c>
      <c r="B662" s="2" t="s">
        <v>1814</v>
      </c>
      <c r="H662" s="2" t="s">
        <v>1573</v>
      </c>
      <c r="I662" s="2" t="str">
        <f ca="1">"If the penalty is $"&amp;ROUND(F663,0)&amp;" and the interest rate is "&amp;ROUND(F664*100,2)&amp;"% or more compounded monthly, then it always is worth switching."</f>
        <v>If the penalty is $45 and the interest rate is 8.24% or more compounded monthly, then it always is worth switching.</v>
      </c>
    </row>
    <row r="663" spans="1:13" x14ac:dyDescent="0.35">
      <c r="A663" s="8">
        <f ca="1">A660*(1+A661/2)^(A662*2)</f>
        <v>98576.70665358947</v>
      </c>
      <c r="B663" s="2" t="s">
        <v>909</v>
      </c>
      <c r="E663" s="6" t="s">
        <v>1920</v>
      </c>
      <c r="F663" s="8">
        <f ca="1">RANDBETWEEN(5,10)*5</f>
        <v>45</v>
      </c>
      <c r="H663" s="2" t="s">
        <v>1607</v>
      </c>
      <c r="I663" s="2" t="str">
        <f ca="1">"If the penalty is $"&amp;ROUND(F666,0)&amp;" and the interest rate is "&amp;ROUND(F664*100,2)&amp;"% or more compounded monthly, then it always is worth switching."</f>
        <v>If the penalty is $50 and the interest rate is 8.24% or more compounded monthly, then it always is worth switching.</v>
      </c>
    </row>
    <row r="664" spans="1:13" x14ac:dyDescent="0.35">
      <c r="E664" s="6" t="s">
        <v>2719</v>
      </c>
      <c r="F664" s="29">
        <f ca="1">IF(CEILING(12*((A663/(A660-F663))^(1/(A662*12))-1),0.0001)=F660,"#RECALCULATE",CEILING(12*((A663/(A660-F663))^(1/(A662*12))-1),0.0001))</f>
        <v>8.2400000000000001E-2</v>
      </c>
      <c r="H664" s="2" t="s">
        <v>2352</v>
      </c>
      <c r="I664" s="2" t="str">
        <f ca="1">"If there is no penalty then interest rates of " &amp; 100*ROUND(C665,4) &amp; "% compounded monthly and " &amp; 100*ROUND(A661,4) &amp; "% compounded semiannually lead to financially equivalent outcomes."</f>
        <v>If there is no penalty then interest rates of 8.23% compounded monthly and 8.37% compounded semiannually lead to financially equivalent outcomes.</v>
      </c>
    </row>
    <row r="665" spans="1:13" x14ac:dyDescent="0.35">
      <c r="B665" s="6" t="s">
        <v>1905</v>
      </c>
      <c r="C665" s="19">
        <f ca="1">ROUND(12*((A663/(A660))^(1/(A662*12))-1),4)</f>
        <v>8.2299999999999998E-2</v>
      </c>
      <c r="H665" s="2" t="s">
        <v>3406</v>
      </c>
      <c r="I665" s="2" t="str">
        <f ca="1">"If there is no penalty then interest rates of " &amp; 100*ROUND(C666,4) &amp; "% compounded monthly and " &amp; 100*ROUND(A661,4) &amp; "% compounded semiannually lead to financially equivalent outcomes."</f>
        <v>If there is no penalty then interest rates of 8.28% compounded monthly and 8.37% compounded semiannually lead to financially equivalent outcomes.</v>
      </c>
    </row>
    <row r="666" spans="1:13" x14ac:dyDescent="0.35">
      <c r="C666" s="159">
        <f ca="1">C665+(IF(RANDBETWEEN(0,1)=0,1,-1))*RANDBETWEEN(5,9)/10000</f>
        <v>8.2799999999999999E-2</v>
      </c>
      <c r="E666" s="6" t="s">
        <v>2720</v>
      </c>
      <c r="F666" s="8">
        <f ca="1">F663+5*RANDBETWEEN(1,3)</f>
        <v>50</v>
      </c>
    </row>
    <row r="667" spans="1:13" x14ac:dyDescent="0.35">
      <c r="E667" s="6" t="s">
        <v>1456</v>
      </c>
      <c r="F667" s="29">
        <f ca="1">F660-RANDBETWEEN(5,15)/10000</f>
        <v>8.1799999999999998E-2</v>
      </c>
    </row>
    <row r="668" spans="1:13" ht="16" thickBot="1" x14ac:dyDescent="0.4"/>
    <row r="669" spans="1:13" ht="16.5" thickTop="1" thickBot="1" x14ac:dyDescent="0.4">
      <c r="B669" s="76" t="str">
        <f ca="1">[1]!alpha_ans($C$669)</f>
        <v>C</v>
      </c>
      <c r="C669" s="79" t="str">
        <f ca="1" xml:space="preserve"> "/\" &amp;RANDBETWEEN( 1,5) &amp; "/\" &amp;RANDBETWEEN( 1,3) &amp; "/\" &amp;RANDBETWEEN( 1,2) &amp; "/\" &amp;I660 &amp; "/\" &amp; I661 &amp; "/\" &amp; I662 &amp; "/\" &amp; I663 &amp; "/\" &amp; I664 &amp; "/\" &amp; I665</f>
        <v>/\3/\2/\1/\If the penalty is $271 and the interest rate is 8.29% or more compounded monthly, then it always is worth switching./\If the penalty is $271 and the interest rate is 8.18% or more compounded monthly, then it always is worth switching./\If the penalty is $45 and the interest rate is 8.24% or more compounded monthly, then it always is worth switching./\If the penalty is $50 and the interest rate is 8.24% or more compounded monthly, then it always is worth switching./\If there is no penalty then interest rates of 8.23% compounded monthly and 8.37% compounded semiannually lead to financially equivalent outcomes./\If there is no penalty then interest rates of 8.28% compounded monthly and 8.37% compounded semiannually lead to financially equivalent outcomes.</v>
      </c>
      <c r="D669" s="80" t="s">
        <v>1906</v>
      </c>
      <c r="G669" s="76" t="str">
        <f ca="1">[1]!std_ans($H$669)</f>
        <v>B</v>
      </c>
      <c r="H669" s="79" t="str">
        <f ca="1" xml:space="preserve"> "/\" &amp;RANDBETWEEN( 1,120) &amp; "/\" &amp;RANDBETWEEN( 1,120) &amp; "/\" &amp;0.1 &amp; "/\" &amp; F661</f>
        <v>/\75/\96/\0.1/\271</v>
      </c>
      <c r="I669" s="80" t="s">
        <v>3672</v>
      </c>
      <c r="K669" s="76" t="str">
        <f ca="1">[1]!std_ans($L$669)</f>
        <v>B</v>
      </c>
      <c r="L669" s="79" t="str">
        <f ca="1" xml:space="preserve"> "/\" &amp;RANDBETWEEN( 1,120) &amp; "/\" &amp;RANDBETWEEN( 1,120) &amp; "/\" &amp;0.1 &amp; "/\" &amp; F664</f>
        <v>/\99/\102/\0.1/\0.0824</v>
      </c>
      <c r="M669" s="80" t="s">
        <v>3673</v>
      </c>
    </row>
    <row r="670" spans="1:13" ht="16" thickTop="1" x14ac:dyDescent="0.35">
      <c r="B670" s="81" t="str">
        <f ca="1">[1]!complexV_A($C$669)</f>
        <v>If the penalty is $271 and the interest rate is 8.18% or more compounded monthly, then it always is worth switching.</v>
      </c>
      <c r="C670" s="82"/>
      <c r="D670" s="77"/>
      <c r="G670" s="101">
        <f ca="1">[1]!stdnum_A($H$669)</f>
        <v>223.9669421487603</v>
      </c>
      <c r="H670" s="82"/>
      <c r="I670" s="77"/>
      <c r="K670" s="108">
        <f ca="1">[1]!stdnum_A($L$669)</f>
        <v>6.1908339594289992E-2</v>
      </c>
      <c r="L670" s="82"/>
      <c r="M670" s="77"/>
    </row>
    <row r="671" spans="1:13" x14ac:dyDescent="0.35">
      <c r="B671" s="81" t="str">
        <f ca="1">[1]!complexV_B($C$669)</f>
        <v>If the penalty is $50 and the interest rate is 8.24% or more compounded monthly, then it always is worth switching.</v>
      </c>
      <c r="C671" s="82"/>
      <c r="D671" s="77"/>
      <c r="G671" s="101">
        <f ca="1">[1]!stdnum_B($H$669)</f>
        <v>271</v>
      </c>
      <c r="H671" s="82"/>
      <c r="I671" s="77"/>
      <c r="K671" s="108">
        <f ca="1">[1]!stdnum_B($L$669)</f>
        <v>8.2400000000000001E-2</v>
      </c>
      <c r="L671" s="82"/>
      <c r="M671" s="77"/>
    </row>
    <row r="672" spans="1:13" x14ac:dyDescent="0.35">
      <c r="B672" s="81" t="str">
        <f ca="1">[1]!complexV_C($C$669)</f>
        <v>If there is no penalty then interest rates of 8.23% compounded monthly and 8.37% compounded semiannually lead to financially equivalent outcomes.</v>
      </c>
      <c r="C672" s="82"/>
      <c r="D672" s="77"/>
      <c r="G672" s="101">
        <f ca="1">[1]!stdnum_C($H$669)</f>
        <v>246.36363636363635</v>
      </c>
      <c r="H672" s="82"/>
      <c r="I672" s="77"/>
      <c r="K672" s="108">
        <f ca="1">[1]!stdnum_C($L$669)</f>
        <v>7.4909090909090911E-2</v>
      </c>
      <c r="L672" s="82"/>
      <c r="M672" s="77"/>
    </row>
    <row r="673" spans="1:13" x14ac:dyDescent="0.35">
      <c r="B673" s="81" t="str">
        <f ca="1">[1]!complexV_D($C$669)</f>
        <v>Two choices, A and C, are correct</v>
      </c>
      <c r="C673" s="82"/>
      <c r="D673" s="77"/>
      <c r="G673" s="101">
        <f ca="1">[1]!stdnum_D($H$669)</f>
        <v>298.10000000000002</v>
      </c>
      <c r="H673" s="82"/>
      <c r="I673" s="77"/>
      <c r="K673" s="108">
        <f ca="1">[1]!stdnum_D($L$669)</f>
        <v>5.6280308722081812E-2</v>
      </c>
      <c r="L673" s="82"/>
      <c r="M673" s="77"/>
    </row>
    <row r="674" spans="1:13" ht="16" thickBot="1" x14ac:dyDescent="0.4">
      <c r="B674" s="83" t="str">
        <f ca="1">[1]!complexV_E($C$669)</f>
        <v>The three A-B-C choices are all correct</v>
      </c>
      <c r="C674" s="84"/>
      <c r="D674" s="78"/>
      <c r="G674" s="102">
        <f ca="1">[1]!stdnum_E($H$669)</f>
        <v>203.60631104432753</v>
      </c>
      <c r="H674" s="84"/>
      <c r="I674" s="78"/>
      <c r="K674" s="109">
        <f ca="1">[1]!stdnum_E($L$669)</f>
        <v>6.8099173553719E-2</v>
      </c>
      <c r="L674" s="84"/>
      <c r="M674" s="78"/>
    </row>
    <row r="675" spans="1:13" ht="16" thickTop="1" x14ac:dyDescent="0.35"/>
    <row r="677" spans="1:13" x14ac:dyDescent="0.35">
      <c r="A677" s="120" t="s">
        <v>2367</v>
      </c>
    </row>
    <row r="678" spans="1:13" x14ac:dyDescent="0.35">
      <c r="A678" s="29">
        <f ca="1">RANDBETWEEN(120,210)/1000</f>
        <v>0.152</v>
      </c>
      <c r="B678" s="2" t="s">
        <v>2567</v>
      </c>
    </row>
    <row r="679" spans="1:13" x14ac:dyDescent="0.35">
      <c r="A679" s="29">
        <f ca="1">(1+A678/12)^12-1</f>
        <v>0.16304944312234571</v>
      </c>
      <c r="B679" s="2" t="s">
        <v>1334</v>
      </c>
    </row>
    <row r="680" spans="1:13" ht="16" thickBot="1" x14ac:dyDescent="0.4"/>
    <row r="681" spans="1:13" ht="16.5" thickTop="1" thickBot="1" x14ac:dyDescent="0.4">
      <c r="B681" s="76" t="str">
        <f ca="1">[1]!std_ans($C$681)</f>
        <v>C</v>
      </c>
      <c r="C681" s="79" t="str">
        <f ca="1" xml:space="preserve"> "/\" &amp;RANDBETWEEN( 1,120) &amp; "/\" &amp;RANDBETWEEN( 1,120) &amp; "/\" &amp;0.1 &amp; "/\" &amp; A679</f>
        <v>/\44/\69/\0.1/\0.163049443122346</v>
      </c>
      <c r="D681" s="80" t="s">
        <v>2368</v>
      </c>
    </row>
    <row r="682" spans="1:13" ht="16" thickTop="1" x14ac:dyDescent="0.35">
      <c r="B682" s="134">
        <f ca="1">[1]!stdnum_A($C$681)</f>
        <v>0.1972898261780387</v>
      </c>
      <c r="C682" s="82"/>
      <c r="D682" s="77"/>
    </row>
    <row r="683" spans="1:13" x14ac:dyDescent="0.35">
      <c r="B683" s="134">
        <f ca="1">[1]!stdnum_B($C$681)</f>
        <v>0.17935438743458063</v>
      </c>
      <c r="C683" s="82"/>
      <c r="D683" s="77"/>
    </row>
    <row r="684" spans="1:13" x14ac:dyDescent="0.35">
      <c r="B684" s="134">
        <f ca="1">[1]!stdnum_C($C$681)</f>
        <v>0.16304944312234601</v>
      </c>
      <c r="C684" s="82"/>
      <c r="D684" s="77"/>
    </row>
    <row r="685" spans="1:13" x14ac:dyDescent="0.35">
      <c r="B685" s="134">
        <f ca="1">[1]!stdnum_D($C$681)</f>
        <v>0.13475160588623636</v>
      </c>
      <c r="C685" s="82"/>
      <c r="D685" s="77"/>
    </row>
    <row r="686" spans="1:13" ht="16" thickBot="1" x14ac:dyDescent="0.4">
      <c r="B686" s="135">
        <f ca="1">[1]!stdnum_E($C$681)</f>
        <v>0.14822676647485999</v>
      </c>
      <c r="C686" s="84"/>
      <c r="D686" s="78"/>
    </row>
    <row r="687" spans="1:13" ht="16" thickTop="1" x14ac:dyDescent="0.35"/>
    <row r="689" spans="1:11" x14ac:dyDescent="0.35">
      <c r="A689" s="88" t="s">
        <v>2452</v>
      </c>
    </row>
    <row r="690" spans="1:11" x14ac:dyDescent="0.35">
      <c r="A690" s="20"/>
      <c r="D690" s="4"/>
      <c r="J690" s="4">
        <f ca="1">RANDBETWEEN(1,3)</f>
        <v>2</v>
      </c>
    </row>
    <row r="691" spans="1:11" x14ac:dyDescent="0.35">
      <c r="A691" s="8">
        <f ca="1">RANDBETWEEN(300,800)*40</f>
        <v>30960</v>
      </c>
      <c r="B691" s="2" t="s">
        <v>2526</v>
      </c>
      <c r="D691" s="24">
        <f ca="1">A691*(1+A693/J693)^(-A692*J693)</f>
        <v>12396.698218789081</v>
      </c>
      <c r="E691" s="2" t="s">
        <v>596</v>
      </c>
      <c r="G691" s="24">
        <f ca="1">D691*(1+D693/J693)^(J693*A692)</f>
        <v>27472.088486631819</v>
      </c>
      <c r="H691" s="2" t="s">
        <v>2528</v>
      </c>
      <c r="J691" s="4" t="str">
        <f ca="1">CHOOSE(J690,"months","quarters","semiannum")</f>
        <v>quarters</v>
      </c>
      <c r="K691" s="2" t="s">
        <v>2888</v>
      </c>
    </row>
    <row r="692" spans="1:11" x14ac:dyDescent="0.35">
      <c r="A692" s="265">
        <f ca="1">RANDBETWEEN(8,24)</f>
        <v>9</v>
      </c>
      <c r="B692" s="2" t="s">
        <v>2105</v>
      </c>
      <c r="D692" s="265">
        <f ca="1">sign1*RANDBETWEEN(60,150)</f>
        <v>-136</v>
      </c>
      <c r="E692" s="2" t="s">
        <v>2882</v>
      </c>
      <c r="F692" s="2" t="str">
        <f ca="1">IF(sign1&gt;0,"bigger","smaller")</f>
        <v>smaller</v>
      </c>
      <c r="G692" s="10">
        <f ca="1">A691-G691</f>
        <v>3487.9115133681807</v>
      </c>
      <c r="H692" s="2" t="s">
        <v>2529</v>
      </c>
      <c r="J692" s="4" t="str">
        <f ca="1">CHOOSE(J690,"monthly","quarterly","semiannually")</f>
        <v>quarterly</v>
      </c>
      <c r="K692" s="2" t="s">
        <v>2889</v>
      </c>
    </row>
    <row r="693" spans="1:11" x14ac:dyDescent="0.35">
      <c r="A693" s="29">
        <f ca="1">RANDBETWEEN(60,140)/1000</f>
        <v>0.10299999999999999</v>
      </c>
      <c r="B693" s="2" t="s">
        <v>985</v>
      </c>
      <c r="D693" s="29">
        <f ca="1">A693+D692/10000</f>
        <v>8.9399999999999993E-2</v>
      </c>
      <c r="E693" s="2" t="s">
        <v>2527</v>
      </c>
      <c r="F693" s="2" t="str">
        <f ca="1">IF(sign1&lt;0,"bigger","smaller")</f>
        <v>bigger</v>
      </c>
      <c r="J693" s="4">
        <f ca="1">CHOOSE(J690,12,4,2)</f>
        <v>4</v>
      </c>
      <c r="K693" s="2" t="s">
        <v>2890</v>
      </c>
    </row>
    <row r="694" spans="1:11" x14ac:dyDescent="0.35">
      <c r="D694" s="29"/>
    </row>
    <row r="695" spans="1:11" ht="16" thickBot="1" x14ac:dyDescent="0.4">
      <c r="B695" s="120" t="s">
        <v>2451</v>
      </c>
      <c r="F695" s="88" t="s">
        <v>2454</v>
      </c>
    </row>
    <row r="696" spans="1:11" ht="16.5" thickTop="1" thickBot="1" x14ac:dyDescent="0.4">
      <c r="B696" s="76" t="str">
        <f ca="1">[1]!std_ans($C$696)</f>
        <v>E</v>
      </c>
      <c r="C696" s="79" t="str">
        <f ca="1" xml:space="preserve"> "/\" &amp;RANDBETWEEN( 1,120) &amp; "/\" &amp;RANDBETWEEN( 1,120) &amp; "/\" &amp;0.1 &amp; "/\" &amp; D693</f>
        <v>/\70/\18/\0.1/\0.0894</v>
      </c>
      <c r="D696" s="80" t="s">
        <v>2453</v>
      </c>
      <c r="F696" s="76" t="str">
        <f ca="1">[1]!alpha_ans($G$696)</f>
        <v>A</v>
      </c>
      <c r="G696" s="79" t="str">
        <f ca="1" xml:space="preserve"> "/\" &amp;RANDBETWEEN( 1,5) &amp; "/\" &amp;RANDBETWEEN( 1,120) &amp; "/\" &amp;RANDBETWEEN( 1,6) &amp; "/\" &amp;RANDBETWEEN( 1,2) &amp; "/\" &amp; D692 &amp; "/\" &amp; "Mask" &amp; "/\" &amp; "Mask" &amp; "/\" &amp; F692 &amp; "/\" &amp; F693</f>
        <v>/\1/\51/\1/\1/\-136/\Mask/\Mask/\smaller/\bigger</v>
      </c>
      <c r="H696" s="80" t="s">
        <v>2086</v>
      </c>
    </row>
    <row r="697" spans="1:11" ht="16" thickTop="1" x14ac:dyDescent="0.35">
      <c r="B697" s="134">
        <f ca="1">[1]!stdnum_A($C$696)</f>
        <v>0.13089054000000003</v>
      </c>
      <c r="C697" s="82"/>
      <c r="D697" s="77"/>
      <c r="F697" s="81">
        <f ca="1">[1]!onepair_A($G$696)</f>
        <v>-136</v>
      </c>
      <c r="G697" s="82" t="str">
        <f ca="1">[1]!onepair_A2($G$696)</f>
        <v>smaller</v>
      </c>
      <c r="H697" s="77"/>
    </row>
    <row r="698" spans="1:11" x14ac:dyDescent="0.35">
      <c r="B698" s="134">
        <f ca="1">[1]!stdnum_B($C$696)</f>
        <v>9.8339999999999997E-2</v>
      </c>
      <c r="C698" s="82"/>
      <c r="D698" s="77"/>
      <c r="F698" s="81">
        <f ca="1">[1]!onepair_B($G$696)</f>
        <v>-136</v>
      </c>
      <c r="G698" s="82" t="str">
        <f ca="1">[1]!onepair_B2($G$696)</f>
        <v>bigger</v>
      </c>
      <c r="H698" s="77"/>
    </row>
    <row r="699" spans="1:11" x14ac:dyDescent="0.35">
      <c r="B699" s="134">
        <f ca="1">[1]!stdnum_C($C$696)</f>
        <v>0.11899140000000002</v>
      </c>
      <c r="C699" s="82"/>
      <c r="D699" s="77"/>
      <c r="F699" s="81">
        <f ca="1">[1]!onepair_C($G$696)</f>
        <v>-179.86</v>
      </c>
      <c r="G699" s="82" t="str">
        <f ca="1">[1]!onepair_C2($G$696)</f>
        <v>smaller</v>
      </c>
      <c r="H699" s="77"/>
    </row>
    <row r="700" spans="1:11" x14ac:dyDescent="0.35">
      <c r="B700" s="134">
        <f ca="1">[1]!stdnum_D($C$696)</f>
        <v>0.10817400000000001</v>
      </c>
      <c r="C700" s="82"/>
      <c r="D700" s="77"/>
      <c r="F700" s="81">
        <f ca="1">[1]!onepair_D($G$696)</f>
        <v>-156.4</v>
      </c>
      <c r="G700" s="82" t="str">
        <f ca="1">[1]!onepair_D2($G$696)</f>
        <v>smaller</v>
      </c>
      <c r="H700" s="77"/>
    </row>
    <row r="701" spans="1:11" ht="16" thickBot="1" x14ac:dyDescent="0.4">
      <c r="B701" s="135">
        <f ca="1">[1]!stdnum_E($C$696)</f>
        <v>8.9399999999999993E-2</v>
      </c>
      <c r="C701" s="84"/>
      <c r="D701" s="78"/>
      <c r="F701" s="83">
        <f ca="1">[1]!onepair_E($G$696)</f>
        <v>-179.86</v>
      </c>
      <c r="G701" s="84" t="str">
        <f ca="1">[1]!onepair_E2($G$696)</f>
        <v>bigger</v>
      </c>
      <c r="H701" s="78"/>
    </row>
    <row r="702" spans="1:11" ht="16" thickTop="1" x14ac:dyDescent="0.35"/>
    <row r="704" spans="1:11" x14ac:dyDescent="0.35">
      <c r="A704" s="88" t="s">
        <v>737</v>
      </c>
    </row>
    <row r="705" spans="1:12" x14ac:dyDescent="0.35">
      <c r="A705" s="8">
        <f ca="1">RANDBETWEEN(30,80)*20</f>
        <v>1480</v>
      </c>
      <c r="B705" s="2" t="s">
        <v>1324</v>
      </c>
      <c r="D705" s="10">
        <f ca="1">A707+A706*(1+A708)^1+A705*(1+A708)^2</f>
        <v>3433.2187200000003</v>
      </c>
      <c r="E705" s="2" t="s">
        <v>1327</v>
      </c>
    </row>
    <row r="706" spans="1:12" x14ac:dyDescent="0.35">
      <c r="A706" s="8">
        <f ca="1">RANDBETWEEN(30,80)*30</f>
        <v>1320</v>
      </c>
      <c r="B706" s="2" t="s">
        <v>1325</v>
      </c>
      <c r="D706" s="10">
        <f ca="1">D705-(A705+A706+A707)</f>
        <v>253.2187200000003</v>
      </c>
      <c r="E706" s="2" t="s">
        <v>1445</v>
      </c>
    </row>
    <row r="707" spans="1:12" x14ac:dyDescent="0.35">
      <c r="A707" s="8">
        <f ca="1">RANDBETWEEN(30,80)*10</f>
        <v>380</v>
      </c>
      <c r="B707" s="2" t="s">
        <v>1326</v>
      </c>
      <c r="D707" s="10">
        <f ca="1">D705*(1+A708)</f>
        <v>3632.3454057600006</v>
      </c>
      <c r="E707" s="2" t="s">
        <v>2715</v>
      </c>
    </row>
    <row r="708" spans="1:12" x14ac:dyDescent="0.35">
      <c r="A708" s="14">
        <f ca="1">RANDBETWEEN(50,110)/1000</f>
        <v>5.8000000000000003E-2</v>
      </c>
      <c r="B708" s="2" t="s">
        <v>985</v>
      </c>
    </row>
    <row r="710" spans="1:12" ht="16" thickBot="1" x14ac:dyDescent="0.4">
      <c r="B710" s="120" t="s">
        <v>736</v>
      </c>
      <c r="F710" s="88" t="s">
        <v>1916</v>
      </c>
      <c r="J710" s="120" t="s">
        <v>385</v>
      </c>
    </row>
    <row r="711" spans="1:12" ht="16.5" thickTop="1" thickBot="1" x14ac:dyDescent="0.4">
      <c r="B711" s="76" t="str">
        <f ca="1">[1]!std_ans($C$711)</f>
        <v>C</v>
      </c>
      <c r="C711" s="79" t="str">
        <f ca="1" xml:space="preserve"> "/\" &amp;RANDBETWEEN( 1,120) &amp; "/\" &amp;RANDBETWEEN( 1,120) &amp; "/\" &amp;0.1 &amp; "/\" &amp; D705</f>
        <v>/\85/\67/\0.1/\3433.21872</v>
      </c>
      <c r="D711" s="80" t="s">
        <v>738</v>
      </c>
      <c r="F711" s="76" t="str">
        <f ca="1">[1]!std_ans($G$711)</f>
        <v>A</v>
      </c>
      <c r="G711" s="79" t="str">
        <f ca="1" xml:space="preserve"> "/\" &amp;RANDBETWEEN( 1,120) &amp; "/\" &amp;RANDBETWEEN( 1,120) &amp; "/\" &amp;0.1 &amp; "/\" &amp; D707</f>
        <v>/\20/\96/\0.1/\3632.34540576</v>
      </c>
      <c r="H711" s="80" t="s">
        <v>1917</v>
      </c>
      <c r="J711" s="76" t="str">
        <f ca="1">[1]!std_ans($K$711)</f>
        <v>D</v>
      </c>
      <c r="K711" s="79" t="str">
        <f ca="1" xml:space="preserve"> "/\" &amp;RANDBETWEEN( 1,120) &amp; "/\" &amp;RANDBETWEEN( 1,120) &amp; "/\" &amp;0.1 &amp; "/\" &amp; D706</f>
        <v>/\83/\45/\0.1/\253.21872</v>
      </c>
      <c r="L711" s="80" t="s">
        <v>386</v>
      </c>
    </row>
    <row r="712" spans="1:12" ht="16" thickTop="1" x14ac:dyDescent="0.35">
      <c r="B712" s="110">
        <f ca="1">[1]!stdnum_A($C$711)</f>
        <v>3121.107927272727</v>
      </c>
      <c r="C712" s="82"/>
      <c r="D712" s="77"/>
      <c r="F712" s="110">
        <f ca="1">[1]!stdnum_A($G$711)</f>
        <v>3632.3454057600002</v>
      </c>
      <c r="G712" s="82"/>
      <c r="H712" s="77"/>
      <c r="J712" s="110">
        <f ca="1">[1]!stdnum_A($K$711)</f>
        <v>230.19883636363636</v>
      </c>
      <c r="K712" s="82"/>
      <c r="L712" s="77"/>
    </row>
    <row r="713" spans="1:12" x14ac:dyDescent="0.35">
      <c r="B713" s="110">
        <f ca="1">[1]!stdnum_B($C$711)</f>
        <v>2837.370842975206</v>
      </c>
      <c r="C713" s="82"/>
      <c r="D713" s="77"/>
      <c r="F713" s="110">
        <f ca="1">[1]!stdnum_B($G$711)</f>
        <v>2729.0348653343344</v>
      </c>
      <c r="G713" s="82"/>
      <c r="H713" s="77"/>
      <c r="J713" s="110">
        <f ca="1">[1]!stdnum_B($K$711)</f>
        <v>337.03411632000007</v>
      </c>
      <c r="K713" s="82"/>
      <c r="L713" s="77"/>
    </row>
    <row r="714" spans="1:12" x14ac:dyDescent="0.35">
      <c r="B714" s="110">
        <f ca="1">[1]!stdnum_C($C$711)</f>
        <v>3433.2187199999998</v>
      </c>
      <c r="C714" s="82"/>
      <c r="D714" s="77"/>
      <c r="F714" s="110">
        <f ca="1">[1]!stdnum_C($G$711)</f>
        <v>3995.5799463360004</v>
      </c>
      <c r="G714" s="82"/>
      <c r="H714" s="77"/>
      <c r="J714" s="110">
        <f ca="1">[1]!stdnum_C($K$711)</f>
        <v>306.39465120000006</v>
      </c>
      <c r="K714" s="82"/>
      <c r="L714" s="77"/>
    </row>
    <row r="715" spans="1:12" x14ac:dyDescent="0.35">
      <c r="B715" s="110">
        <f ca="1">[1]!stdnum_D($C$711)</f>
        <v>4154.1946512000004</v>
      </c>
      <c r="C715" s="82"/>
      <c r="D715" s="77"/>
      <c r="F715" s="110">
        <f ca="1">[1]!stdnum_D($G$711)</f>
        <v>3001.9383518677682</v>
      </c>
      <c r="G715" s="82"/>
      <c r="H715" s="77"/>
      <c r="J715" s="110">
        <f ca="1">[1]!stdnum_D($K$711)</f>
        <v>253.21871999999999</v>
      </c>
      <c r="K715" s="82"/>
      <c r="L715" s="77"/>
    </row>
    <row r="716" spans="1:12" ht="16" thickBot="1" x14ac:dyDescent="0.4">
      <c r="B716" s="111">
        <f ca="1">[1]!stdnum_E($C$711)</f>
        <v>3776.5405920000003</v>
      </c>
      <c r="C716" s="84"/>
      <c r="D716" s="78"/>
      <c r="F716" s="111">
        <f ca="1">[1]!stdnum_E($G$711)</f>
        <v>3302.1321870545453</v>
      </c>
      <c r="G716" s="84"/>
      <c r="H716" s="78"/>
      <c r="J716" s="111">
        <f ca="1">[1]!stdnum_E($K$711)</f>
        <v>278.540592</v>
      </c>
      <c r="K716" s="84"/>
      <c r="L716" s="78"/>
    </row>
    <row r="717" spans="1:12" ht="16" thickTop="1" x14ac:dyDescent="0.35"/>
    <row r="719" spans="1:12" x14ac:dyDescent="0.35">
      <c r="A719" s="276" t="s">
        <v>2478</v>
      </c>
    </row>
    <row r="720" spans="1:12" x14ac:dyDescent="0.35">
      <c r="A720" s="8">
        <f ca="1">RANDBETWEEN(30,80)*20</f>
        <v>1240</v>
      </c>
      <c r="B720" s="2" t="s">
        <v>1324</v>
      </c>
      <c r="D720" s="2">
        <f ca="1">RANDBETWEEN(2,5)</f>
        <v>4</v>
      </c>
      <c r="E720" s="2" t="s">
        <v>2716</v>
      </c>
    </row>
    <row r="721" spans="1:8" x14ac:dyDescent="0.35">
      <c r="A721" s="8">
        <f ca="1">RANDBETWEEN(30,80)*30</f>
        <v>1080</v>
      </c>
      <c r="B721" s="2" t="s">
        <v>1325</v>
      </c>
      <c r="D721" s="2">
        <f ca="1">RANDBETWEEN(6,10)</f>
        <v>9</v>
      </c>
      <c r="E721" s="2" t="s">
        <v>2717</v>
      </c>
    </row>
    <row r="722" spans="1:8" x14ac:dyDescent="0.35">
      <c r="A722" s="8">
        <f ca="1">RANDBETWEEN(30,80)*10</f>
        <v>710</v>
      </c>
      <c r="B722" s="2" t="s">
        <v>1326</v>
      </c>
      <c r="D722" s="10">
        <f ca="1">A722+A721*(1+A723/12)^(D721-D720)+A720*(1+A723/12)^D721</f>
        <v>3177.7599143596099</v>
      </c>
      <c r="E722" s="2" t="s">
        <v>1327</v>
      </c>
    </row>
    <row r="723" spans="1:8" x14ac:dyDescent="0.35">
      <c r="A723" s="14">
        <f ca="1">RANDBETWEEN(50,110)/1000</f>
        <v>0.104</v>
      </c>
      <c r="B723" s="2" t="s">
        <v>985</v>
      </c>
      <c r="D723" s="10">
        <f ca="1">D722*(1+A723/12)^(12-D721)</f>
        <v>3261.0997959710039</v>
      </c>
      <c r="E723" s="2" t="s">
        <v>2718</v>
      </c>
    </row>
    <row r="725" spans="1:8" ht="16" thickBot="1" x14ac:dyDescent="0.4">
      <c r="B725" s="120" t="s">
        <v>283</v>
      </c>
      <c r="F725" s="120" t="s">
        <v>3501</v>
      </c>
    </row>
    <row r="726" spans="1:8" ht="16.5" thickTop="1" thickBot="1" x14ac:dyDescent="0.4">
      <c r="B726" s="76" t="str">
        <f ca="1">[1]!std_ans($C$726)</f>
        <v>C</v>
      </c>
      <c r="C726" s="79" t="str">
        <f ca="1" xml:space="preserve"> "/\" &amp;RANDBETWEEN( 1,120) &amp; "/\" &amp;RANDBETWEEN( 1,120) &amp; "/\" &amp;0.1 &amp; "/\" &amp; D722</f>
        <v>/\79/\87/\0.1/\3177.75991435961</v>
      </c>
      <c r="D726" s="80" t="s">
        <v>2479</v>
      </c>
      <c r="F726" s="76" t="str">
        <f ca="1">[1]!std_ans($G$726)</f>
        <v>E</v>
      </c>
      <c r="G726" s="79" t="str">
        <f ca="1" xml:space="preserve"> "/\" &amp;RANDBETWEEN( 1,120) &amp; "/\" &amp;RANDBETWEEN( 1,120) &amp; "/\" &amp;0.1 &amp; "/\" &amp; D723</f>
        <v>/\42/\31/\0.1/\3261.099795971</v>
      </c>
      <c r="H726" s="80" t="s">
        <v>3502</v>
      </c>
    </row>
    <row r="727" spans="1:8" ht="16" thickTop="1" x14ac:dyDescent="0.35">
      <c r="B727" s="110">
        <f ca="1">[1]!stdnum_A($C$726)</f>
        <v>2387.4980573701046</v>
      </c>
      <c r="C727" s="82"/>
      <c r="D727" s="77"/>
      <c r="F727" s="110">
        <f ca="1">[1]!stdnum_A($G$726)</f>
        <v>3587.2097755681002</v>
      </c>
      <c r="G727" s="82"/>
      <c r="H727" s="77"/>
    </row>
    <row r="728" spans="1:8" x14ac:dyDescent="0.35">
      <c r="B728" s="110">
        <f ca="1">[1]!stdnum_B($C$726)</f>
        <v>2888.8726494178272</v>
      </c>
      <c r="C728" s="82"/>
      <c r="D728" s="77"/>
      <c r="F728" s="110">
        <f ca="1">[1]!stdnum_B($G$726)</f>
        <v>3945.9307531249106</v>
      </c>
      <c r="G728" s="82"/>
      <c r="H728" s="77"/>
    </row>
    <row r="729" spans="1:8" x14ac:dyDescent="0.35">
      <c r="B729" s="110">
        <f ca="1">[1]!stdnum_C($C$726)</f>
        <v>3177.7599143596099</v>
      </c>
      <c r="C729" s="82"/>
      <c r="D729" s="77"/>
      <c r="F729" s="110">
        <f ca="1">[1]!stdnum_C($G$726)</f>
        <v>4340.5238284374018</v>
      </c>
      <c r="G729" s="82"/>
      <c r="H729" s="77"/>
    </row>
    <row r="730" spans="1:8" x14ac:dyDescent="0.35">
      <c r="B730" s="110">
        <f ca="1">[1]!stdnum_D($C$726)</f>
        <v>2626.2478631071153</v>
      </c>
      <c r="C730" s="82"/>
      <c r="D730" s="77"/>
      <c r="F730" s="110">
        <f ca="1">[1]!stdnum_D($G$726)</f>
        <v>2964.6361781554542</v>
      </c>
      <c r="G730" s="82"/>
      <c r="H730" s="77"/>
    </row>
    <row r="731" spans="1:8" ht="16" thickBot="1" x14ac:dyDescent="0.4">
      <c r="B731" s="111">
        <f ca="1">[1]!stdnum_E($C$726)</f>
        <v>3495.5359057955711</v>
      </c>
      <c r="C731" s="84"/>
      <c r="D731" s="78"/>
      <c r="F731" s="111">
        <f ca="1">[1]!stdnum_E($G$726)</f>
        <v>3261.0997959709998</v>
      </c>
      <c r="G731" s="84"/>
      <c r="H731" s="78"/>
    </row>
    <row r="732" spans="1:8" ht="16" thickTop="1" x14ac:dyDescent="0.35"/>
    <row r="734" spans="1:8" x14ac:dyDescent="0.35">
      <c r="A734" s="120" t="s">
        <v>3503</v>
      </c>
    </row>
    <row r="735" spans="1:8" x14ac:dyDescent="0.35">
      <c r="A735" s="8">
        <f ca="1">RANDBETWEEN(30,80)*20</f>
        <v>1400</v>
      </c>
      <c r="B735" s="2" t="s">
        <v>1324</v>
      </c>
      <c r="D735" s="2">
        <f ca="1">RANDBETWEEN(2,7)</f>
        <v>3</v>
      </c>
      <c r="E735" s="2" t="s">
        <v>2716</v>
      </c>
    </row>
    <row r="736" spans="1:8" x14ac:dyDescent="0.35">
      <c r="A736" s="8">
        <f ca="1">RANDBETWEEN(30,80)*30</f>
        <v>2100</v>
      </c>
      <c r="B736" s="2" t="s">
        <v>1325</v>
      </c>
      <c r="D736" s="2">
        <f ca="1">RANDBETWEEN(8,12)</f>
        <v>8</v>
      </c>
      <c r="E736" s="2" t="s">
        <v>2717</v>
      </c>
    </row>
    <row r="737" spans="1:5" x14ac:dyDescent="0.35">
      <c r="A737" s="8">
        <f ca="1">RANDBETWEEN(30,80)*25</f>
        <v>1700</v>
      </c>
      <c r="B737" s="2" t="s">
        <v>1326</v>
      </c>
      <c r="D737" s="10">
        <f ca="1">A735/A739+A736/A739^D735+A737/A739^D736</f>
        <v>5039.3384185544601</v>
      </c>
      <c r="E737" s="2" t="s">
        <v>596</v>
      </c>
    </row>
    <row r="738" spans="1:5" x14ac:dyDescent="0.35">
      <c r="A738" s="14">
        <f ca="1">RANDBETWEEN(60,120)/1000</f>
        <v>9.2999999999999999E-2</v>
      </c>
      <c r="B738" s="2" t="s">
        <v>1457</v>
      </c>
      <c r="D738" s="10"/>
    </row>
    <row r="739" spans="1:5" x14ac:dyDescent="0.35">
      <c r="A739" s="172">
        <f ca="1">1+A738/12</f>
        <v>1.0077499999999999</v>
      </c>
      <c r="B739" s="2" t="s">
        <v>1458</v>
      </c>
    </row>
    <row r="740" spans="1:5" ht="16" thickBot="1" x14ac:dyDescent="0.4"/>
    <row r="741" spans="1:5" ht="16.5" thickTop="1" thickBot="1" x14ac:dyDescent="0.4">
      <c r="B741" s="76" t="str">
        <f ca="1">[1]!std_ans($C$741)</f>
        <v>A</v>
      </c>
      <c r="C741" s="79" t="str">
        <f ca="1" xml:space="preserve"> "/\" &amp;RANDBETWEEN( 1,120) &amp; "/\" &amp;RANDBETWEEN( 1,120) &amp; "/\" &amp;0.1 &amp; "/\" &amp; D737</f>
        <v>/\3/\109/\0.1/\5039.33841855446</v>
      </c>
      <c r="D741" s="80" t="s">
        <v>3504</v>
      </c>
    </row>
    <row r="742" spans="1:5" ht="16" thickTop="1" x14ac:dyDescent="0.35">
      <c r="B742" s="110">
        <f ca="1">[1]!stdnum_A($C$741)</f>
        <v>5039.3384185544601</v>
      </c>
      <c r="C742" s="82"/>
      <c r="D742" s="77"/>
    </row>
    <row r="743" spans="1:5" x14ac:dyDescent="0.35">
      <c r="B743" s="110">
        <f ca="1">[1]!stdnum_B($C$741)</f>
        <v>4164.7424946731071</v>
      </c>
      <c r="C743" s="82"/>
      <c r="D743" s="77"/>
    </row>
    <row r="744" spans="1:5" x14ac:dyDescent="0.35">
      <c r="B744" s="110">
        <f ca="1">[1]!stdnum_C($C$741)</f>
        <v>3786.1295406119148</v>
      </c>
      <c r="C744" s="82"/>
      <c r="D744" s="77"/>
    </row>
    <row r="745" spans="1:5" x14ac:dyDescent="0.35">
      <c r="B745" s="110">
        <f ca="1">[1]!stdnum_D($C$741)</f>
        <v>3441.9359460108317</v>
      </c>
      <c r="C745" s="82"/>
      <c r="D745" s="77"/>
    </row>
    <row r="746" spans="1:5" ht="16" thickBot="1" x14ac:dyDescent="0.4">
      <c r="B746" s="111">
        <f ca="1">[1]!stdnum_E($C$741)</f>
        <v>4581.2167441404181</v>
      </c>
      <c r="C746" s="84"/>
      <c r="D746" s="78"/>
    </row>
    <row r="747" spans="1:5" ht="16" thickTop="1" x14ac:dyDescent="0.35"/>
    <row r="749" spans="1:5" x14ac:dyDescent="0.35">
      <c r="A749" s="88" t="s">
        <v>862</v>
      </c>
    </row>
    <row r="750" spans="1:5" x14ac:dyDescent="0.35">
      <c r="A750" s="8">
        <f ca="1">RANDBETWEEN(30,80)*20</f>
        <v>1440</v>
      </c>
      <c r="B750" s="2" t="s">
        <v>1324</v>
      </c>
      <c r="D750" s="10">
        <f ca="1">A750/(1+A752)+A751/(1+A752)^A753</f>
        <v>2053.0286811109027</v>
      </c>
      <c r="E750" s="2" t="s">
        <v>596</v>
      </c>
    </row>
    <row r="751" spans="1:5" x14ac:dyDescent="0.35">
      <c r="A751" s="8">
        <f ca="1">RANDBETWEEN(30,80)*30</f>
        <v>1320</v>
      </c>
      <c r="B751" s="2" t="s">
        <v>1325</v>
      </c>
    </row>
    <row r="752" spans="1:5" x14ac:dyDescent="0.35">
      <c r="A752" s="14">
        <f ca="1">RANDBETWEEN(60,120)/1000</f>
        <v>7.9000000000000001E-2</v>
      </c>
      <c r="B752" s="2" t="s">
        <v>1457</v>
      </c>
    </row>
    <row r="753" spans="1:10" x14ac:dyDescent="0.35">
      <c r="A753" s="2">
        <f ca="1">RANDBETWEEN(3,8)</f>
        <v>8</v>
      </c>
      <c r="B753" s="2" t="s">
        <v>2716</v>
      </c>
      <c r="D753" s="10"/>
    </row>
    <row r="754" spans="1:10" ht="16" thickBot="1" x14ac:dyDescent="0.4"/>
    <row r="755" spans="1:10" ht="16.5" thickTop="1" thickBot="1" x14ac:dyDescent="0.4">
      <c r="B755" s="76" t="str">
        <f ca="1">[1]!std_ans($C$755)</f>
        <v>E</v>
      </c>
      <c r="C755" s="79" t="str">
        <f ca="1" xml:space="preserve"> "/\" &amp;RANDBETWEEN( 1,120) &amp; "/\" &amp;RANDBETWEEN( 1,120) &amp; "/\" &amp;0.1 &amp; "/\" &amp; D750</f>
        <v>/\94/\30/\0.1/\2053.0286811109</v>
      </c>
      <c r="D755" s="80" t="s">
        <v>3371</v>
      </c>
    </row>
    <row r="756" spans="1:10" ht="16" thickTop="1" x14ac:dyDescent="0.35">
      <c r="B756" s="110">
        <f ca="1">[1]!stdnum_A($C$755)</f>
        <v>2484.1647041441893</v>
      </c>
      <c r="C756" s="82"/>
      <c r="D756" s="77"/>
    </row>
    <row r="757" spans="1:10" x14ac:dyDescent="0.35">
      <c r="B757" s="110">
        <f ca="1">[1]!stdnum_B($C$755)</f>
        <v>2258.3315492219899</v>
      </c>
      <c r="C757" s="82"/>
      <c r="D757" s="77"/>
    </row>
    <row r="758" spans="1:10" x14ac:dyDescent="0.35">
      <c r="B758" s="110">
        <f ca="1">[1]!stdnum_C($C$755)</f>
        <v>1866.3897101008181</v>
      </c>
      <c r="C758" s="82"/>
      <c r="D758" s="77"/>
    </row>
    <row r="759" spans="1:10" x14ac:dyDescent="0.35">
      <c r="B759" s="110">
        <f ca="1">[1]!stdnum_D($C$755)</f>
        <v>2732.5811745586088</v>
      </c>
      <c r="C759" s="82"/>
      <c r="D759" s="77"/>
    </row>
    <row r="760" spans="1:10" ht="16" thickBot="1" x14ac:dyDescent="0.4">
      <c r="B760" s="111">
        <f ca="1">[1]!stdnum_E($C$755)</f>
        <v>2053.0286811108999</v>
      </c>
      <c r="C760" s="84"/>
      <c r="D760" s="78"/>
    </row>
    <row r="761" spans="1:10" ht="16" thickTop="1" x14ac:dyDescent="0.35"/>
    <row r="763" spans="1:10" x14ac:dyDescent="0.35">
      <c r="A763" s="88" t="s">
        <v>3373</v>
      </c>
    </row>
    <row r="764" spans="1:10" x14ac:dyDescent="0.35">
      <c r="A764" s="8">
        <f ca="1">RANDBETWEEN(30,60)*100</f>
        <v>6000</v>
      </c>
      <c r="B764" s="2" t="s">
        <v>2228</v>
      </c>
      <c r="D764" s="8">
        <f ca="1">A764/(1+A768)^A765+A766/(1+A768)^A767</f>
        <v>9062.585659160919</v>
      </c>
      <c r="E764" s="2" t="s">
        <v>2203</v>
      </c>
      <c r="I764" s="8">
        <f ca="1">A766/(1+A768)^(A767-A765)</f>
        <v>5607.5777218139237</v>
      </c>
      <c r="J764" s="2" t="s">
        <v>3176</v>
      </c>
    </row>
    <row r="765" spans="1:10" x14ac:dyDescent="0.35">
      <c r="A765" s="2">
        <f ca="1">RANDBETWEEN(2,6)</f>
        <v>3</v>
      </c>
      <c r="B765" s="2" t="s">
        <v>2227</v>
      </c>
      <c r="D765" s="2">
        <f ca="1">RANDBETWEEN(8,25)*10</f>
        <v>230</v>
      </c>
      <c r="E765" s="2" t="s">
        <v>1433</v>
      </c>
    </row>
    <row r="766" spans="1:10" x14ac:dyDescent="0.35">
      <c r="A766" s="8">
        <f ca="1">RANDBETWEEN(60,90)*100</f>
        <v>7800</v>
      </c>
      <c r="B766" s="2" t="s">
        <v>3221</v>
      </c>
      <c r="D766" s="15">
        <f ca="1">A768-D765/10000</f>
        <v>6.3E-2</v>
      </c>
      <c r="E766" s="2" t="s">
        <v>1435</v>
      </c>
    </row>
    <row r="767" spans="1:10" x14ac:dyDescent="0.35">
      <c r="A767" s="2">
        <f ca="1">RANDBETWEEN(7,10)</f>
        <v>7</v>
      </c>
      <c r="B767" s="2" t="s">
        <v>2202</v>
      </c>
      <c r="D767" s="8">
        <f ca="1">(D764*(1+D766)^A765-A764)*(1+D766)^(A767-A765)</f>
        <v>6238.0658401413639</v>
      </c>
      <c r="E767" s="2" t="s">
        <v>1434</v>
      </c>
    </row>
    <row r="768" spans="1:10" x14ac:dyDescent="0.35">
      <c r="A768" s="14">
        <f ca="1">RANDBETWEEN(80,180)/1000</f>
        <v>8.5999999999999993E-2</v>
      </c>
      <c r="B768" s="2" t="s">
        <v>1747</v>
      </c>
      <c r="D768" s="10">
        <f ca="1">A766-D767</f>
        <v>1561.9341598586361</v>
      </c>
      <c r="E768" s="2" t="s">
        <v>3837</v>
      </c>
    </row>
    <row r="770" spans="1:12" ht="16" thickBot="1" x14ac:dyDescent="0.4">
      <c r="B770" s="120" t="s">
        <v>3372</v>
      </c>
      <c r="F770" s="120" t="s">
        <v>3375</v>
      </c>
      <c r="J770" s="120" t="s">
        <v>3377</v>
      </c>
    </row>
    <row r="771" spans="1:12" ht="16.5" thickTop="1" thickBot="1" x14ac:dyDescent="0.4">
      <c r="B771" s="76" t="str">
        <f ca="1">[1]!std_ans($C$771)</f>
        <v>D</v>
      </c>
      <c r="C771" s="79" t="str">
        <f ca="1" xml:space="preserve"> "/\" &amp;RANDBETWEEN( 1,120) &amp; "/\" &amp;RANDBETWEEN( 1,120) &amp; "/\" &amp;0.1 &amp; "/\" &amp; D764</f>
        <v>/\117/\25/\0.1/\9062.58565916092</v>
      </c>
      <c r="D771" s="80" t="s">
        <v>3374</v>
      </c>
      <c r="F771" s="76" t="str">
        <f ca="1">[1]!std_ans($G$771)</f>
        <v>E</v>
      </c>
      <c r="G771" s="79" t="str">
        <f ca="1" xml:space="preserve"> "/\" &amp;RANDBETWEEN( 1,120) &amp; "/\" &amp;RANDBETWEEN( 1,120) &amp; "/\" &amp;0.1 &amp; "/\" &amp; I764</f>
        <v>/\46/\36/\0.1/\5607.57772181392</v>
      </c>
      <c r="H771" s="80" t="s">
        <v>3376</v>
      </c>
      <c r="J771" s="76" t="str">
        <f ca="1">[1]!std_ans($K$771)</f>
        <v>A</v>
      </c>
      <c r="K771" s="79" t="str">
        <f ca="1" xml:space="preserve"> "/\" &amp;RANDBETWEEN( 1,120) &amp; "/\" &amp;RANDBETWEEN( 1,120) &amp; "/\" &amp;0.1 &amp; "/\" &amp; D768</f>
        <v>/\16/\116/\0.1/\1561.93415985864</v>
      </c>
      <c r="L771" s="80" t="s">
        <v>3378</v>
      </c>
    </row>
    <row r="772" spans="1:12" ht="16" thickTop="1" x14ac:dyDescent="0.35">
      <c r="B772" s="110">
        <f ca="1">[1]!stdnum_A($C$771)</f>
        <v>12062.301512343189</v>
      </c>
      <c r="C772" s="82"/>
      <c r="D772" s="77"/>
      <c r="F772" s="110">
        <f ca="1">[1]!stdnum_A($G$771)</f>
        <v>6168.3354939953124</v>
      </c>
      <c r="G772" s="82"/>
      <c r="H772" s="77"/>
      <c r="J772" s="110">
        <f ca="1">[1]!stdnum_A($K$771)</f>
        <v>1561.93415985864</v>
      </c>
      <c r="K772" s="82"/>
      <c r="L772" s="77"/>
    </row>
    <row r="773" spans="1:12" x14ac:dyDescent="0.35">
      <c r="B773" s="110">
        <f ca="1">[1]!stdnum_B($C$771)</f>
        <v>10965.728647584716</v>
      </c>
      <c r="C773" s="82"/>
      <c r="D773" s="77"/>
      <c r="F773" s="110">
        <f ca="1">[1]!stdnum_B($G$771)</f>
        <v>5097.7979289217456</v>
      </c>
      <c r="G773" s="82"/>
      <c r="H773" s="77"/>
      <c r="J773" s="110">
        <f ca="1">[1]!stdnum_B($K$771)</f>
        <v>1290.8546775691239</v>
      </c>
      <c r="K773" s="82"/>
      <c r="L773" s="77"/>
    </row>
    <row r="774" spans="1:12" x14ac:dyDescent="0.35">
      <c r="B774" s="110">
        <f ca="1">[1]!stdnum_C($C$771)</f>
        <v>8238.7142356008371</v>
      </c>
      <c r="C774" s="82"/>
      <c r="D774" s="77"/>
      <c r="F774" s="110">
        <f ca="1">[1]!stdnum_C($G$771)</f>
        <v>7463.6859477343296</v>
      </c>
      <c r="G774" s="82"/>
      <c r="H774" s="77"/>
      <c r="J774" s="110">
        <f ca="1">[1]!stdnum_C($K$771)</f>
        <v>1066.8220475777882</v>
      </c>
      <c r="K774" s="82"/>
      <c r="L774" s="77"/>
    </row>
    <row r="775" spans="1:12" x14ac:dyDescent="0.35">
      <c r="B775" s="110">
        <f ca="1">[1]!stdnum_D($C$771)</f>
        <v>9062.5856591609208</v>
      </c>
      <c r="C775" s="82"/>
      <c r="D775" s="77"/>
      <c r="F775" s="110">
        <f ca="1">[1]!stdnum_D($G$771)</f>
        <v>6785.1690433948443</v>
      </c>
      <c r="G775" s="82"/>
      <c r="H775" s="77"/>
      <c r="J775" s="110">
        <f ca="1">[1]!stdnum_D($K$771)</f>
        <v>1173.5042523355669</v>
      </c>
      <c r="K775" s="82"/>
      <c r="L775" s="77"/>
    </row>
    <row r="776" spans="1:12" ht="16" thickBot="1" x14ac:dyDescent="0.4">
      <c r="B776" s="111">
        <f ca="1">[1]!stdnum_E($C$771)</f>
        <v>9968.8442250770131</v>
      </c>
      <c r="C776" s="84"/>
      <c r="D776" s="78"/>
      <c r="F776" s="111">
        <f ca="1">[1]!stdnum_E($G$771)</f>
        <v>5607.5777218139201</v>
      </c>
      <c r="G776" s="84"/>
      <c r="H776" s="78"/>
      <c r="J776" s="111">
        <f ca="1">[1]!stdnum_E($K$771)</f>
        <v>1419.9401453260364</v>
      </c>
      <c r="K776" s="84"/>
      <c r="L776" s="78"/>
    </row>
    <row r="777" spans="1:12" ht="16" thickTop="1" x14ac:dyDescent="0.35"/>
    <row r="779" spans="1:12" x14ac:dyDescent="0.35">
      <c r="A779" s="88" t="s">
        <v>2031</v>
      </c>
    </row>
    <row r="780" spans="1:12" x14ac:dyDescent="0.35">
      <c r="A780" s="15">
        <f ca="1">RANDBETWEEN(95,185)/1000</f>
        <v>0.13700000000000001</v>
      </c>
      <c r="B780" s="2" t="s">
        <v>713</v>
      </c>
      <c r="C780" s="277">
        <f ca="1">1+A780/12</f>
        <v>1.0114166666666666</v>
      </c>
      <c r="D780" s="8">
        <f ca="1">A781/C780^A782+A783/C780^A784</f>
        <v>4066.6833688127067</v>
      </c>
      <c r="E780" s="2" t="s">
        <v>3693</v>
      </c>
    </row>
    <row r="781" spans="1:12" x14ac:dyDescent="0.35">
      <c r="A781" s="8">
        <f ca="1">RANDBETWEEN(10,25)*100</f>
        <v>1600</v>
      </c>
      <c r="B781" s="2" t="s">
        <v>714</v>
      </c>
      <c r="D781" s="15">
        <f ca="1">A780*(1+RANDBETWEEN(16,25)/100)^(IF(RANDBETWEEN(0,1)=0,1,-1))</f>
        <v>0.16166</v>
      </c>
      <c r="E781" s="2" t="s">
        <v>3694</v>
      </c>
      <c r="F781" s="277">
        <f ca="1">1+D781/12</f>
        <v>1.0134716666666668</v>
      </c>
    </row>
    <row r="782" spans="1:12" x14ac:dyDescent="0.35">
      <c r="A782" s="2">
        <f ca="1">RANDBETWEEN(4,12)</f>
        <v>10</v>
      </c>
      <c r="B782" s="2" t="s">
        <v>715</v>
      </c>
      <c r="D782" s="8">
        <f ca="1">(D780*F781^A782-A781)*F781^(A784-A782)</f>
        <v>3348.3745099127996</v>
      </c>
      <c r="E782" s="2" t="s">
        <v>3691</v>
      </c>
    </row>
    <row r="783" spans="1:12" x14ac:dyDescent="0.35">
      <c r="A783" s="8">
        <f ca="1">RANDBETWEEN(10,45)*100</f>
        <v>3200</v>
      </c>
      <c r="B783" s="2" t="s">
        <v>3691</v>
      </c>
      <c r="D783" s="8">
        <f ca="1">ABS(D782-A783)</f>
        <v>148.37450991279957</v>
      </c>
      <c r="E783" s="2" t="s">
        <v>3695</v>
      </c>
    </row>
    <row r="784" spans="1:12" x14ac:dyDescent="0.35">
      <c r="A784" s="2">
        <f ca="1">RANDBETWEEN(16,24)</f>
        <v>17</v>
      </c>
      <c r="B784" s="2" t="s">
        <v>3692</v>
      </c>
      <c r="D784" s="4" t="str">
        <f ca="1">IF(D782&gt;A783,"larger","smaller")</f>
        <v>larger</v>
      </c>
      <c r="E784" s="4" t="str">
        <f ca="1">IF(D782&lt;A783,"larger","smaller")</f>
        <v>smaller</v>
      </c>
    </row>
    <row r="786" spans="1:8" ht="16" thickBot="1" x14ac:dyDescent="0.4">
      <c r="B786" s="120" t="s">
        <v>2030</v>
      </c>
      <c r="F786" s="120" t="s">
        <v>2033</v>
      </c>
    </row>
    <row r="787" spans="1:8" ht="16.5" thickTop="1" thickBot="1" x14ac:dyDescent="0.4">
      <c r="B787" s="76" t="str">
        <f ca="1">[1]!std_ans($C$787)</f>
        <v>E</v>
      </c>
      <c r="C787" s="79" t="str">
        <f ca="1" xml:space="preserve"> "/\" &amp;RANDBETWEEN( 1,120) &amp; "/\" &amp;RANDBETWEEN( 1,120) &amp; "/\" &amp;0.1 &amp; "/\" &amp; D782</f>
        <v>/\72/\1/\0.1/\3348.3745099128</v>
      </c>
      <c r="D787" s="80" t="s">
        <v>2032</v>
      </c>
      <c r="F787" s="76" t="str">
        <f ca="1">[1]!alpha_ans($G$787)</f>
        <v>D</v>
      </c>
      <c r="G787" s="79" t="str">
        <f ca="1" xml:space="preserve"> "/\" &amp;RANDBETWEEN( 1,5) &amp; "/\" &amp;RANDBETWEEN( 1,120) &amp; "/\" &amp;RANDBETWEEN( 1,6) &amp; "/\" &amp;RANDBETWEEN( 1,2) &amp; "/\" &amp; D783 &amp; "/\" &amp; "Mask" &amp; "/\" &amp; "Mask" &amp; "/\" &amp; D784 &amp; "/\" &amp; E784</f>
        <v>/\4/\28/\4/\2/\148.3745099128/\Mask/\Mask/\larger/\smaller</v>
      </c>
      <c r="H787" s="80" t="s">
        <v>2034</v>
      </c>
    </row>
    <row r="788" spans="1:8" ht="16" thickTop="1" x14ac:dyDescent="0.35">
      <c r="B788" s="110">
        <f ca="1">[1]!stdnum_A($C$787)</f>
        <v>4051.5331569944888</v>
      </c>
      <c r="C788" s="82"/>
      <c r="D788" s="77"/>
      <c r="F788" s="110">
        <f ca="1">[1]!onepair_A($G$787)</f>
        <v>170.63068639971999</v>
      </c>
      <c r="G788" s="82" t="str">
        <f ca="1">[1]!onepair_A2($G$787)</f>
        <v>larger</v>
      </c>
      <c r="H788" s="77"/>
    </row>
    <row r="789" spans="1:8" x14ac:dyDescent="0.35">
      <c r="B789" s="110">
        <f ca="1">[1]!stdnum_B($C$787)</f>
        <v>4902.3551199633321</v>
      </c>
      <c r="C789" s="82"/>
      <c r="D789" s="77"/>
      <c r="F789" s="110">
        <f ca="1">[1]!onepair_B($G$787)</f>
        <v>148.37450991279999</v>
      </c>
      <c r="G789" s="82" t="str">
        <f ca="1">[1]!onepair_B2($G$787)</f>
        <v>smaller</v>
      </c>
      <c r="H789" s="77"/>
    </row>
    <row r="790" spans="1:8" x14ac:dyDescent="0.35">
      <c r="B790" s="110">
        <f ca="1">[1]!stdnum_C($C$787)</f>
        <v>4456.6864726939384</v>
      </c>
      <c r="C790" s="82"/>
      <c r="D790" s="77"/>
      <c r="F790" s="110">
        <f ca="1">[1]!onepair_C($G$787)</f>
        <v>129.02131296765199</v>
      </c>
      <c r="G790" s="82" t="str">
        <f ca="1">[1]!onepair_C2($G$787)</f>
        <v>larger</v>
      </c>
      <c r="H790" s="77"/>
    </row>
    <row r="791" spans="1:8" x14ac:dyDescent="0.35">
      <c r="B791" s="110">
        <f ca="1">[1]!stdnum_D($C$787)</f>
        <v>3683.2119609040801</v>
      </c>
      <c r="C791" s="82"/>
      <c r="D791" s="77"/>
      <c r="F791" s="110">
        <f ca="1">[1]!onepair_D($G$787)</f>
        <v>148.37450991279999</v>
      </c>
      <c r="G791" s="82" t="str">
        <f ca="1">[1]!onepair_D2($G$787)</f>
        <v>larger</v>
      </c>
      <c r="H791" s="77"/>
    </row>
    <row r="792" spans="1:8" ht="16" thickBot="1" x14ac:dyDescent="0.4">
      <c r="B792" s="111">
        <f ca="1">[1]!stdnum_E($C$787)</f>
        <v>3348.3745099128</v>
      </c>
      <c r="C792" s="84"/>
      <c r="D792" s="78"/>
      <c r="F792" s="111">
        <f ca="1">[1]!onepair_E($G$787)</f>
        <v>170.63068639971999</v>
      </c>
      <c r="G792" s="84" t="str">
        <f ca="1">[1]!onepair_E2($G$787)</f>
        <v>smaller</v>
      </c>
      <c r="H792" s="78"/>
    </row>
    <row r="793" spans="1:8" ht="16" thickTop="1" x14ac:dyDescent="0.35"/>
    <row r="795" spans="1:8" x14ac:dyDescent="0.35">
      <c r="A795" s="120" t="s">
        <v>2035</v>
      </c>
    </row>
    <row r="796" spans="1:8" x14ac:dyDescent="0.35">
      <c r="A796" s="8">
        <f ca="1">RANDBETWEEN(10,25)*120</f>
        <v>2640</v>
      </c>
      <c r="B796" s="2" t="s">
        <v>1107</v>
      </c>
    </row>
    <row r="797" spans="1:8" x14ac:dyDescent="0.35">
      <c r="A797" s="8">
        <f ca="1">RANDBETWEEN(10,25)*70</f>
        <v>840</v>
      </c>
      <c r="B797" s="2" t="s">
        <v>2108</v>
      </c>
    </row>
    <row r="798" spans="1:8" x14ac:dyDescent="0.35">
      <c r="A798" s="8">
        <f ca="1">RANDBETWEEN(10,25)*70</f>
        <v>1540</v>
      </c>
      <c r="B798" s="2" t="s">
        <v>2109</v>
      </c>
    </row>
    <row r="799" spans="1:8" x14ac:dyDescent="0.35">
      <c r="A799" s="14">
        <f ca="1">IF(ABS(C799)&lt;0.04,"RECALCULATE",C799)</f>
        <v>-6.0753176563302827E-2</v>
      </c>
      <c r="B799" s="2" t="s">
        <v>256</v>
      </c>
      <c r="C799" s="14">
        <f ca="1">[1]!irrmixed(A796,A797,1,A798,1)</f>
        <v>-6.0753176563302827E-2</v>
      </c>
    </row>
    <row r="800" spans="1:8" ht="16" thickBot="1" x14ac:dyDescent="0.4"/>
    <row r="801" spans="1:6" ht="16.5" thickTop="1" thickBot="1" x14ac:dyDescent="0.4">
      <c r="B801" s="76" t="str">
        <f ca="1">[1]!std_ans($C$801)</f>
        <v>E</v>
      </c>
      <c r="C801" s="79" t="str">
        <f ca="1" xml:space="preserve"> "/\" &amp;RANDBETWEEN( 1,120) &amp; "/\" &amp;RANDBETWEEN( 1,120) &amp; "/\" &amp;0.1 &amp; "/\" &amp; A799</f>
        <v>/\34/\73/\0.1/\-0.0607531765633028</v>
      </c>
      <c r="D801" s="80" t="s">
        <v>2036</v>
      </c>
    </row>
    <row r="802" spans="1:6" ht="16" thickTop="1" x14ac:dyDescent="0.35">
      <c r="B802" s="92">
        <f ca="1">[1]!stdnum_A($C$801)</f>
        <v>-4.5644760753796226E-2</v>
      </c>
      <c r="C802" s="82"/>
      <c r="D802" s="77"/>
    </row>
    <row r="803" spans="1:6" x14ac:dyDescent="0.35">
      <c r="B803" s="92">
        <f ca="1">[1]!stdnum_B($C$801)</f>
        <v>-5.0209236829175864E-2</v>
      </c>
      <c r="C803" s="82"/>
      <c r="D803" s="77"/>
    </row>
    <row r="804" spans="1:6" x14ac:dyDescent="0.35">
      <c r="B804" s="92">
        <f ca="1">[1]!stdnum_C($C$801)</f>
        <v>-5.5230160512093451E-2</v>
      </c>
      <c r="C804" s="82"/>
      <c r="D804" s="77"/>
    </row>
    <row r="805" spans="1:6" x14ac:dyDescent="0.35">
      <c r="B805" s="92">
        <f ca="1">[1]!stdnum_D($C$801)</f>
        <v>-6.6828494219633078E-2</v>
      </c>
      <c r="C805" s="82"/>
      <c r="D805" s="77"/>
    </row>
    <row r="806" spans="1:6" ht="16" thickBot="1" x14ac:dyDescent="0.4">
      <c r="B806" s="93">
        <f ca="1">[1]!stdnum_E($C$801)</f>
        <v>-6.0753176563302799E-2</v>
      </c>
      <c r="C806" s="84"/>
      <c r="D806" s="78"/>
    </row>
    <row r="807" spans="1:6" ht="16" thickTop="1" x14ac:dyDescent="0.35"/>
    <row r="809" spans="1:6" x14ac:dyDescent="0.35">
      <c r="A809" s="88" t="s">
        <v>3550</v>
      </c>
    </row>
    <row r="810" spans="1:6" x14ac:dyDescent="0.35">
      <c r="A810" s="24">
        <f ca="1">ROUND(SUM(A811:A813)*MIN(vMask10,1/vMask10),-1)</f>
        <v>4690</v>
      </c>
      <c r="B810" s="2" t="s">
        <v>1107</v>
      </c>
      <c r="D810" s="8">
        <f ca="1">ROUNDUP(A810,-2)+50*RANDBETWEEN(1,4)</f>
        <v>4900</v>
      </c>
      <c r="E810" s="2" t="s">
        <v>376</v>
      </c>
    </row>
    <row r="811" spans="1:6" x14ac:dyDescent="0.35">
      <c r="A811" s="8">
        <f ca="1">RANDBETWEEN(10,20)*80</f>
        <v>1600</v>
      </c>
      <c r="B811" s="2" t="s">
        <v>2108</v>
      </c>
      <c r="D811" s="14">
        <f ca="1">12*[1]!irrmixed(D810,A811,1,A812,1,A813,1)</f>
        <v>0.46965743200597737</v>
      </c>
      <c r="E811" s="2" t="s">
        <v>378</v>
      </c>
    </row>
    <row r="812" spans="1:6" x14ac:dyDescent="0.35">
      <c r="A812" s="8">
        <f ca="1">RANDBETWEEN(10,20)*90</f>
        <v>1800</v>
      </c>
      <c r="B812" s="2" t="s">
        <v>2109</v>
      </c>
      <c r="D812" s="3">
        <f ca="1">10000*(A814-D811)</f>
        <v>2727.7636224627604</v>
      </c>
      <c r="E812" s="2" t="s">
        <v>379</v>
      </c>
    </row>
    <row r="813" spans="1:6" x14ac:dyDescent="0.35">
      <c r="A813" s="8">
        <f ca="1">RANDBETWEEN(10,20)*100</f>
        <v>1900</v>
      </c>
      <c r="B813" s="2" t="s">
        <v>375</v>
      </c>
    </row>
    <row r="814" spans="1:6" x14ac:dyDescent="0.35">
      <c r="A814" s="14">
        <f ca="1">12*[1]!irrmixed(A810,A811,1,A812,1,A813,1)</f>
        <v>0.74243379425225342</v>
      </c>
      <c r="B814" s="2" t="s">
        <v>377</v>
      </c>
    </row>
    <row r="816" spans="1:6" ht="16" thickBot="1" x14ac:dyDescent="0.4">
      <c r="B816" s="120" t="s">
        <v>3549</v>
      </c>
      <c r="F816" s="120" t="s">
        <v>3552</v>
      </c>
    </row>
    <row r="817" spans="1:8" ht="16.5" thickTop="1" thickBot="1" x14ac:dyDescent="0.4">
      <c r="B817" s="76" t="str">
        <f ca="1">[1]!std_ans($C$817)</f>
        <v>E</v>
      </c>
      <c r="C817" s="79" t="str">
        <f ca="1" xml:space="preserve"> "/\" &amp;RANDBETWEEN( 1,120) &amp; "/\" &amp;RANDBETWEEN( 1,120) &amp; "/\" &amp;0.1 &amp; "/\" &amp; A814</f>
        <v>/\64/\45/\0.1/\0.742433794252253</v>
      </c>
      <c r="D817" s="80" t="s">
        <v>3551</v>
      </c>
      <c r="F817" s="76" t="str">
        <f ca="1">[1]!std_ans($G$817)</f>
        <v>A</v>
      </c>
      <c r="G817" s="79" t="str">
        <f ca="1" xml:space="preserve"> "/\" &amp;RANDBETWEEN( 1,120) &amp; "/\" &amp;RANDBETWEEN( 1,120) &amp; "/\" &amp;0.1 &amp; "/\" &amp; D812</f>
        <v>/\5/\104/\0.1/\2727.76362246276</v>
      </c>
      <c r="H817" s="80" t="s">
        <v>3553</v>
      </c>
    </row>
    <row r="818" spans="1:8" ht="16" thickTop="1" x14ac:dyDescent="0.35">
      <c r="B818" s="92">
        <f ca="1">[1]!stdnum_A($C$817)</f>
        <v>0.81667717367747839</v>
      </c>
      <c r="C818" s="82"/>
      <c r="D818" s="77"/>
      <c r="F818" s="314">
        <f ca="1">[1]!stdnum_A($G$817)</f>
        <v>2727.7636224627599</v>
      </c>
      <c r="G818" s="82"/>
      <c r="H818" s="77"/>
    </row>
    <row r="819" spans="1:8" x14ac:dyDescent="0.35">
      <c r="B819" s="92">
        <f ca="1">[1]!stdnum_B($C$817)</f>
        <v>0.67493981295659355</v>
      </c>
      <c r="C819" s="82"/>
      <c r="D819" s="77"/>
      <c r="F819" s="314">
        <f ca="1">[1]!stdnum_B($G$817)</f>
        <v>2049.4091829171743</v>
      </c>
      <c r="G819" s="82"/>
      <c r="H819" s="77"/>
    </row>
    <row r="820" spans="1:8" x14ac:dyDescent="0.35">
      <c r="B820" s="92">
        <f ca="1">[1]!stdnum_C($C$817)</f>
        <v>0.98817938014974904</v>
      </c>
      <c r="C820" s="82"/>
      <c r="D820" s="77"/>
      <c r="F820" s="314">
        <f ca="1">[1]!stdnum_C($G$817)</f>
        <v>2254.3501012088923</v>
      </c>
      <c r="G820" s="82"/>
      <c r="H820" s="77"/>
    </row>
    <row r="821" spans="1:8" x14ac:dyDescent="0.35">
      <c r="B821" s="92">
        <f ca="1">[1]!stdnum_D($C$817)</f>
        <v>0.89834489104522619</v>
      </c>
      <c r="C821" s="82"/>
      <c r="D821" s="77"/>
      <c r="F821" s="314">
        <f ca="1">[1]!stdnum_D($G$817)</f>
        <v>1863.0992571974314</v>
      </c>
      <c r="G821" s="82"/>
      <c r="H821" s="77"/>
    </row>
    <row r="822" spans="1:8" ht="16" thickBot="1" x14ac:dyDescent="0.4">
      <c r="B822" s="93">
        <f ca="1">[1]!stdnum_E($C$817)</f>
        <v>0.74243379425225298</v>
      </c>
      <c r="C822" s="84"/>
      <c r="D822" s="78"/>
      <c r="F822" s="315">
        <f ca="1">[1]!stdnum_E($G$817)</f>
        <v>2479.7851113297816</v>
      </c>
      <c r="G822" s="84"/>
      <c r="H822" s="78"/>
    </row>
    <row r="823" spans="1:8" ht="16" thickTop="1" x14ac:dyDescent="0.35"/>
    <row r="825" spans="1:8" x14ac:dyDescent="0.35">
      <c r="A825" s="120" t="s">
        <v>2392</v>
      </c>
    </row>
    <row r="826" spans="1:8" x14ac:dyDescent="0.35">
      <c r="A826" s="24">
        <f ca="1">ROUND(SUM(A827:A828)*MIN(vMask10,1/vMask10),-1)</f>
        <v>6900</v>
      </c>
      <c r="B826" s="2" t="s">
        <v>1107</v>
      </c>
    </row>
    <row r="827" spans="1:8" x14ac:dyDescent="0.35">
      <c r="A827" s="8">
        <f ca="1">RANDBETWEEN(40,60)*100</f>
        <v>4200</v>
      </c>
      <c r="B827" s="2" t="s">
        <v>2108</v>
      </c>
      <c r="D827" s="2">
        <f ca="1">RANDBETWEEN(2,5)</f>
        <v>4</v>
      </c>
      <c r="E827" s="2" t="s">
        <v>715</v>
      </c>
    </row>
    <row r="828" spans="1:8" x14ac:dyDescent="0.35">
      <c r="A828" s="8">
        <f ca="1">RANDBETWEEN(30,39)*100</f>
        <v>3600</v>
      </c>
      <c r="B828" s="2" t="s">
        <v>2109</v>
      </c>
      <c r="D828" s="2">
        <f ca="1">RANDBETWEEN(7,12)</f>
        <v>7</v>
      </c>
      <c r="E828" s="2" t="s">
        <v>3692</v>
      </c>
    </row>
    <row r="829" spans="1:8" x14ac:dyDescent="0.35">
      <c r="A829" s="14">
        <f ca="1">12*[1]!irrmixed(A826,0,D827-1,A827,1,0,D828-D827-1,A828,1)</f>
        <v>0.27769427217506054</v>
      </c>
      <c r="B829" s="2" t="s">
        <v>378</v>
      </c>
    </row>
    <row r="830" spans="1:8" ht="16" thickBot="1" x14ac:dyDescent="0.4"/>
    <row r="831" spans="1:8" ht="16.5" thickTop="1" thickBot="1" x14ac:dyDescent="0.4">
      <c r="B831" s="76" t="str">
        <f ca="1">[1]!std_ans($C$831)</f>
        <v>B</v>
      </c>
      <c r="C831" s="79" t="str">
        <f ca="1" xml:space="preserve"> "/\" &amp;RANDBETWEEN( 1,120) &amp; "/\" &amp;RANDBETWEEN( 1,120) &amp; "/\" &amp;0.1 &amp; "/\" &amp; A829</f>
        <v>/\78/\117/\0.1/\0.277694272175061</v>
      </c>
      <c r="D831" s="80" t="s">
        <v>2393</v>
      </c>
    </row>
    <row r="832" spans="1:8" ht="16" thickTop="1" x14ac:dyDescent="0.35">
      <c r="B832" s="134">
        <f ca="1">[1]!stdnum_A($C$831)</f>
        <v>0.18966892437337676</v>
      </c>
      <c r="C832" s="82"/>
      <c r="D832" s="77"/>
    </row>
    <row r="833" spans="1:5" x14ac:dyDescent="0.35">
      <c r="B833" s="134">
        <f ca="1">[1]!stdnum_B($C$831)</f>
        <v>0.27769427217506099</v>
      </c>
      <c r="C833" s="82"/>
      <c r="D833" s="77"/>
    </row>
    <row r="834" spans="1:5" x14ac:dyDescent="0.35">
      <c r="B834" s="134">
        <f ca="1">[1]!stdnum_C($C$831)</f>
        <v>0.22949939849178591</v>
      </c>
      <c r="C834" s="82"/>
      <c r="D834" s="77"/>
    </row>
    <row r="835" spans="1:5" x14ac:dyDescent="0.35">
      <c r="B835" s="134">
        <f ca="1">[1]!stdnum_D($C$831)</f>
        <v>0.20863581681071444</v>
      </c>
      <c r="C835" s="82"/>
      <c r="D835" s="77"/>
    </row>
    <row r="836" spans="1:5" ht="16" thickBot="1" x14ac:dyDescent="0.4">
      <c r="B836" s="135">
        <f ca="1">[1]!stdnum_E($C$831)</f>
        <v>0.2524493383409645</v>
      </c>
      <c r="C836" s="84"/>
      <c r="D836" s="78"/>
    </row>
    <row r="837" spans="1:5" ht="16" thickTop="1" x14ac:dyDescent="0.35"/>
    <row r="839" spans="1:5" x14ac:dyDescent="0.35">
      <c r="A839" s="120" t="s">
        <v>3784</v>
      </c>
    </row>
    <row r="840" spans="1:5" x14ac:dyDescent="0.35">
      <c r="A840" s="24">
        <f ca="1">ROUND(SUM(A841:A843)*MIN(vMask10,1/vMask10),-1)</f>
        <v>11420</v>
      </c>
      <c r="B840" s="2" t="s">
        <v>1107</v>
      </c>
    </row>
    <row r="841" spans="1:5" x14ac:dyDescent="0.35">
      <c r="A841" s="8">
        <f ca="1">RANDBETWEEN(40,60)*100</f>
        <v>5600</v>
      </c>
      <c r="B841" s="2" t="s">
        <v>2108</v>
      </c>
      <c r="D841" s="2">
        <f ca="1">RANDBETWEEN(2,5)</f>
        <v>2</v>
      </c>
      <c r="E841" s="2" t="s">
        <v>715</v>
      </c>
    </row>
    <row r="842" spans="1:5" x14ac:dyDescent="0.35">
      <c r="A842" s="8">
        <f ca="1">RANDBETWEEN(30,39)*100</f>
        <v>3800</v>
      </c>
      <c r="B842" s="2" t="s">
        <v>2109</v>
      </c>
      <c r="D842" s="2">
        <f ca="1">RANDBETWEEN(7,12)</f>
        <v>9</v>
      </c>
      <c r="E842" s="2" t="s">
        <v>3692</v>
      </c>
    </row>
    <row r="843" spans="1:5" x14ac:dyDescent="0.35">
      <c r="A843" s="8">
        <f ca="1">RANDBETWEEN(35,50)*100</f>
        <v>3500</v>
      </c>
      <c r="B843" s="2" t="s">
        <v>375</v>
      </c>
      <c r="D843" s="2">
        <f ca="1">RANDBETWEEN(14,20)</f>
        <v>17</v>
      </c>
      <c r="E843" s="2" t="s">
        <v>3179</v>
      </c>
    </row>
    <row r="844" spans="1:5" x14ac:dyDescent="0.35">
      <c r="A844" s="14">
        <f ca="1">12*[1]!irrmixed(A840,0,D841-1,A841,1,0,D842-D841-1,A842,1,0,D843-D842-1,A843,1)</f>
        <v>0.18794726775894863</v>
      </c>
      <c r="B844" s="2" t="s">
        <v>377</v>
      </c>
    </row>
    <row r="845" spans="1:5" ht="16" thickBot="1" x14ac:dyDescent="0.4"/>
    <row r="846" spans="1:5" ht="16.5" thickTop="1" thickBot="1" x14ac:dyDescent="0.4">
      <c r="B846" s="76" t="str">
        <f ca="1">[1]!std_ans($C$846)</f>
        <v>E</v>
      </c>
      <c r="C846" s="79" t="str">
        <f ca="1" xml:space="preserve"> "/\" &amp;RANDBETWEEN( 1,120) &amp; "/\" &amp;RANDBETWEEN( 1,120) &amp; "/\" &amp;0.1 &amp; "/\" &amp; A844</f>
        <v>/\46/\105/\0.1/\0.187947267758949</v>
      </c>
      <c r="D846" s="80" t="s">
        <v>2751</v>
      </c>
    </row>
    <row r="847" spans="1:5" ht="16" thickTop="1" x14ac:dyDescent="0.35">
      <c r="B847" s="92">
        <f ca="1">[1]!stdnum_A($C$846)</f>
        <v>0.14120756405631024</v>
      </c>
      <c r="C847" s="82"/>
      <c r="D847" s="77"/>
    </row>
    <row r="848" spans="1:5" x14ac:dyDescent="0.35">
      <c r="B848" s="92">
        <f ca="1">[1]!stdnum_B($C$846)</f>
        <v>0.17086115250813544</v>
      </c>
      <c r="C848" s="82"/>
      <c r="D848" s="77"/>
    </row>
    <row r="849" spans="1:5" x14ac:dyDescent="0.35">
      <c r="B849" s="92">
        <f ca="1">[1]!stdnum_C($C$846)</f>
        <v>0.15532832046194128</v>
      </c>
      <c r="C849" s="82"/>
      <c r="D849" s="77"/>
    </row>
    <row r="850" spans="1:5" x14ac:dyDescent="0.35">
      <c r="B850" s="92">
        <f ca="1">[1]!stdnum_D($C$846)</f>
        <v>0.12837051277846387</v>
      </c>
      <c r="C850" s="82"/>
      <c r="D850" s="77"/>
    </row>
    <row r="851" spans="1:5" ht="16" thickBot="1" x14ac:dyDescent="0.4">
      <c r="B851" s="93">
        <f ca="1">[1]!stdnum_E($C$846)</f>
        <v>0.18794726775894899</v>
      </c>
      <c r="C851" s="84"/>
      <c r="D851" s="78"/>
    </row>
    <row r="852" spans="1:5" ht="16" thickTop="1" x14ac:dyDescent="0.35"/>
    <row r="854" spans="1:5" x14ac:dyDescent="0.35">
      <c r="A854" s="120" t="s">
        <v>2752</v>
      </c>
    </row>
    <row r="855" spans="1:5" x14ac:dyDescent="0.35">
      <c r="A855" s="24">
        <f ca="1">A856/C858^D855+A857/C858^D856</f>
        <v>5154.901925319673</v>
      </c>
      <c r="B855" s="2" t="s">
        <v>1107</v>
      </c>
      <c r="D855" s="2">
        <f ca="1">RANDBETWEEN(2,5)</f>
        <v>5</v>
      </c>
      <c r="E855" s="2" t="s">
        <v>715</v>
      </c>
    </row>
    <row r="856" spans="1:5" x14ac:dyDescent="0.35">
      <c r="A856" s="8">
        <f ca="1">RANDBETWEEN(40,60)*100</f>
        <v>5700</v>
      </c>
      <c r="B856" s="2" t="s">
        <v>2108</v>
      </c>
      <c r="D856" s="2">
        <f ca="1">RANDBETWEEN(7,12)</f>
        <v>7</v>
      </c>
      <c r="E856" s="2" t="s">
        <v>3692</v>
      </c>
    </row>
    <row r="857" spans="1:5" x14ac:dyDescent="0.35">
      <c r="A857" s="8">
        <f ca="1">RANDBETWEEN(30,39)*100</f>
        <v>3200</v>
      </c>
      <c r="B857" s="2" t="s">
        <v>2306</v>
      </c>
      <c r="D857" s="8">
        <f ca="1">ROUND(A857*MAX(vMask30,1/vMask30)/2,-1)</f>
        <v>2100</v>
      </c>
      <c r="E857" s="2" t="str">
        <f ca="1">IF(sign2&gt;0,"surplus","shortfall")</f>
        <v>surplus</v>
      </c>
    </row>
    <row r="858" spans="1:5" x14ac:dyDescent="0.35">
      <c r="A858" s="14">
        <f ca="1">RANDBETWEEN(90,190)/1000</f>
        <v>0.10100000000000001</v>
      </c>
      <c r="B858" s="2" t="s">
        <v>2304</v>
      </c>
      <c r="C858" s="62">
        <f ca="1">1+A858</f>
        <v>1.101</v>
      </c>
      <c r="D858" s="10">
        <f ca="1">A857+sign2*D857</f>
        <v>5300</v>
      </c>
      <c r="E858" s="2" t="s">
        <v>2305</v>
      </c>
    </row>
    <row r="859" spans="1:5" x14ac:dyDescent="0.35">
      <c r="A859" s="14">
        <f ca="1">[1]!irrmixed(A855,0,D855-1,A856,1,0,D856-D855-1,D858,1)</f>
        <v>0.13708578846685951</v>
      </c>
      <c r="B859" s="2" t="s">
        <v>378</v>
      </c>
    </row>
    <row r="860" spans="1:5" ht="16" thickBot="1" x14ac:dyDescent="0.4"/>
    <row r="861" spans="1:5" ht="16.5" thickTop="1" thickBot="1" x14ac:dyDescent="0.4">
      <c r="B861" s="76" t="str">
        <f ca="1">[1]!std_ans($C$861)</f>
        <v>E</v>
      </c>
      <c r="C861" s="79" t="str">
        <f ca="1" xml:space="preserve"> "/\" &amp;RANDBETWEEN( 1,120) &amp; "/\" &amp;RANDBETWEEN( 1,120) &amp; "/\" &amp;0.1 &amp; "/\" &amp; A859</f>
        <v>/\94/\105/\0.1/\0.13708578846686</v>
      </c>
      <c r="D861" s="80" t="s">
        <v>2753</v>
      </c>
    </row>
    <row r="862" spans="1:5" ht="16" thickTop="1" x14ac:dyDescent="0.35">
      <c r="B862" s="92">
        <f ca="1">[1]!stdnum_A($C$861)</f>
        <v>9.3631438062195191E-2</v>
      </c>
      <c r="C862" s="82"/>
      <c r="D862" s="77"/>
    </row>
    <row r="863" spans="1:5" x14ac:dyDescent="0.35">
      <c r="B863" s="92">
        <f ca="1">[1]!stdnum_B($C$861)</f>
        <v>0.12462344406078182</v>
      </c>
      <c r="C863" s="82"/>
      <c r="D863" s="77"/>
    </row>
    <row r="864" spans="1:5" x14ac:dyDescent="0.35">
      <c r="B864" s="92">
        <f ca="1">[1]!stdnum_C($C$861)</f>
        <v>0.1029945818684147</v>
      </c>
      <c r="C864" s="82"/>
      <c r="D864" s="77"/>
    </row>
    <row r="865" spans="1:8" x14ac:dyDescent="0.35">
      <c r="B865" s="92">
        <f ca="1">[1]!stdnum_D($C$861)</f>
        <v>0.11329404005525619</v>
      </c>
      <c r="C865" s="82"/>
      <c r="D865" s="77"/>
    </row>
    <row r="866" spans="1:8" ht="16" thickBot="1" x14ac:dyDescent="0.4">
      <c r="B866" s="93">
        <f ca="1">[1]!stdnum_E($C$861)</f>
        <v>0.13708578846686001</v>
      </c>
      <c r="C866" s="84"/>
      <c r="D866" s="78"/>
    </row>
    <row r="867" spans="1:8" ht="16" thickTop="1" x14ac:dyDescent="0.35"/>
    <row r="869" spans="1:8" x14ac:dyDescent="0.35">
      <c r="A869" s="88" t="s">
        <v>661</v>
      </c>
    </row>
    <row r="870" spans="1:8" x14ac:dyDescent="0.35">
      <c r="A870" s="264">
        <f ca="1">RANDBETWEEN(10,30)</f>
        <v>11</v>
      </c>
      <c r="B870" s="2" t="s">
        <v>596</v>
      </c>
      <c r="D870" s="264">
        <f ca="1">A870*(1+A872)^A871</f>
        <v>35.66858636888746</v>
      </c>
      <c r="E870" s="2" t="s">
        <v>909</v>
      </c>
      <c r="G870" s="242"/>
      <c r="H870" s="133"/>
    </row>
    <row r="871" spans="1:8" x14ac:dyDescent="0.35">
      <c r="A871" s="265">
        <f ca="1">RANDBETWEEN(3,7)</f>
        <v>7</v>
      </c>
      <c r="B871" s="2" t="s">
        <v>597</v>
      </c>
      <c r="D871" s="14">
        <f ca="1">D870/A870-1</f>
        <v>2.242598760807951</v>
      </c>
      <c r="E871" s="2" t="s">
        <v>2523</v>
      </c>
      <c r="G871" s="242"/>
      <c r="H871" s="133"/>
    </row>
    <row r="872" spans="1:8" x14ac:dyDescent="0.35">
      <c r="A872" s="14">
        <f ca="1">RANDBETWEEN(70,250)/1000</f>
        <v>0.183</v>
      </c>
      <c r="B872" s="2" t="s">
        <v>985</v>
      </c>
      <c r="D872" s="232"/>
    </row>
    <row r="873" spans="1:8" ht="16" thickBot="1" x14ac:dyDescent="0.4"/>
    <row r="874" spans="1:8" ht="16.5" thickTop="1" thickBot="1" x14ac:dyDescent="0.4">
      <c r="B874" s="76" t="str">
        <f ca="1">[1]!alpha_ans($C$874)</f>
        <v>E</v>
      </c>
      <c r="C874" s="79" t="str">
        <f ca="1" xml:space="preserve"> "/\" &amp;RANDBETWEEN( 1,5) &amp; "/\" &amp;RANDBETWEEN( 1,120) &amp; "/\" &amp;RANDBETWEEN( 1,6) &amp; "/\" &amp;RANDBETWEEN( 1,2) &amp; "/\" &amp; A872 &amp; "/\" &amp; "Mask" &amp; "/\" &amp; "Mask" &amp; "/\" &amp; D871 &amp; "/\" &amp; "Mask"</f>
        <v>/\5/\28/\6/\1/\0.183/\Mask/\Mask/\2.24259876080795/\Mask</v>
      </c>
      <c r="D874" s="80" t="s">
        <v>662</v>
      </c>
    </row>
    <row r="875" spans="1:8" ht="16" thickTop="1" x14ac:dyDescent="0.35">
      <c r="B875" s="92">
        <f ca="1">[1]!onepair_A($C$874)</f>
        <v>0.15913043478260899</v>
      </c>
      <c r="C875" s="242">
        <f ca="1">[1]!onepair_A2($C$874)</f>
        <v>2.2425987608079501</v>
      </c>
      <c r="D875" s="77"/>
    </row>
    <row r="876" spans="1:8" x14ac:dyDescent="0.35">
      <c r="B876" s="92">
        <f ca="1">[1]!onepair_B($C$874)</f>
        <v>0.183</v>
      </c>
      <c r="C876" s="242">
        <f ca="1">[1]!onepair_B2($C$874)</f>
        <v>1.9500858789634301</v>
      </c>
      <c r="D876" s="77"/>
    </row>
    <row r="877" spans="1:8" x14ac:dyDescent="0.35">
      <c r="B877" s="92">
        <f ca="1">[1]!onepair_C($C$874)</f>
        <v>0.13837429111531199</v>
      </c>
      <c r="C877" s="242">
        <f ca="1">[1]!onepair_C2($C$874)</f>
        <v>2.2425987608079501</v>
      </c>
      <c r="D877" s="77"/>
    </row>
    <row r="878" spans="1:8" x14ac:dyDescent="0.35">
      <c r="B878" s="92">
        <f ca="1">[1]!onepair_D($C$874)</f>
        <v>0.13837429111531199</v>
      </c>
      <c r="C878" s="242">
        <f ca="1">[1]!onepair_D2($C$874)</f>
        <v>1.9500858789634301</v>
      </c>
      <c r="D878" s="77"/>
    </row>
    <row r="879" spans="1:8" ht="16" thickBot="1" x14ac:dyDescent="0.4">
      <c r="B879" s="93">
        <f ca="1">[1]!onepair_E($C$874)</f>
        <v>0.183</v>
      </c>
      <c r="C879" s="299">
        <f ca="1">[1]!onepair_E2($C$874)</f>
        <v>2.2425987608079501</v>
      </c>
      <c r="D879" s="78"/>
    </row>
    <row r="880" spans="1:8" ht="16" thickTop="1" x14ac:dyDescent="0.35"/>
    <row r="882" spans="1:6" x14ac:dyDescent="0.35">
      <c r="A882" s="88" t="s">
        <v>664</v>
      </c>
    </row>
    <row r="883" spans="1:6" x14ac:dyDescent="0.35">
      <c r="A883" s="24">
        <f ca="1">RANDBETWEEN(10,30)*100</f>
        <v>1600</v>
      </c>
      <c r="B883" s="2" t="s">
        <v>596</v>
      </c>
      <c r="E883" s="10">
        <f ca="1">A883*(1+A885/2)^C884</f>
        <v>10902.437416493423</v>
      </c>
      <c r="F883" s="2" t="s">
        <v>1304</v>
      </c>
    </row>
    <row r="884" spans="1:6" x14ac:dyDescent="0.35">
      <c r="A884" s="265">
        <f ca="1">RANDBETWEEN(3,6)*5</f>
        <v>30</v>
      </c>
      <c r="B884" s="2" t="s">
        <v>1303</v>
      </c>
      <c r="C884" s="2">
        <f ca="1">A884*2</f>
        <v>60</v>
      </c>
      <c r="E884" s="10">
        <f ca="1">E883-A883</f>
        <v>9302.4374164934234</v>
      </c>
      <c r="F884" s="2" t="s">
        <v>1305</v>
      </c>
    </row>
    <row r="885" spans="1:6" x14ac:dyDescent="0.35">
      <c r="A885" s="14">
        <f ca="1">RANDBETWEEN(60,110)/1000</f>
        <v>6.5000000000000002E-2</v>
      </c>
      <c r="B885" s="2" t="s">
        <v>985</v>
      </c>
      <c r="E885" s="21">
        <f ca="1">A885*A884*A883</f>
        <v>3120.0000000000005</v>
      </c>
      <c r="F885" s="2" t="s">
        <v>1306</v>
      </c>
    </row>
    <row r="886" spans="1:6" x14ac:dyDescent="0.35">
      <c r="E886" s="10">
        <f ca="1">E884-E885</f>
        <v>6182.4374164934234</v>
      </c>
      <c r="F886" s="2" t="s">
        <v>1307</v>
      </c>
    </row>
    <row r="887" spans="1:6" ht="16" thickBot="1" x14ac:dyDescent="0.4"/>
    <row r="888" spans="1:6" ht="16.5" thickTop="1" thickBot="1" x14ac:dyDescent="0.4">
      <c r="B888" s="76" t="str">
        <f ca="1">[1]!std_ans($C$888)</f>
        <v>B</v>
      </c>
      <c r="C888" s="79" t="str">
        <f ca="1" xml:space="preserve"> "/\" &amp;RANDBETWEEN( 1,120) &amp; "/\" &amp;RANDBETWEEN( 1,120) &amp; "/\" &amp;0.1 &amp; "/\" &amp; E886</f>
        <v>/\25/\23/\0.1/\6182.43741649342</v>
      </c>
      <c r="D888" s="80" t="s">
        <v>1308</v>
      </c>
    </row>
    <row r="889" spans="1:6" ht="16" thickTop="1" x14ac:dyDescent="0.35">
      <c r="B889" s="302">
        <f ca="1">[1]!stdnum_A($C$888)</f>
        <v>9051.7066214880178</v>
      </c>
      <c r="C889" s="82"/>
      <c r="D889" s="77"/>
    </row>
    <row r="890" spans="1:6" x14ac:dyDescent="0.35">
      <c r="B890" s="302">
        <f ca="1">[1]!stdnum_B($C$888)</f>
        <v>6182.4374164934197</v>
      </c>
      <c r="C890" s="82"/>
      <c r="D890" s="77"/>
    </row>
    <row r="891" spans="1:6" x14ac:dyDescent="0.35">
      <c r="B891" s="302">
        <f ca="1">[1]!stdnum_C($C$888)</f>
        <v>8228.8242013527433</v>
      </c>
      <c r="C891" s="82"/>
      <c r="D891" s="77"/>
    </row>
    <row r="892" spans="1:6" x14ac:dyDescent="0.35">
      <c r="B892" s="302">
        <f ca="1">[1]!stdnum_D($C$888)</f>
        <v>6800.6811581427619</v>
      </c>
      <c r="C892" s="82"/>
      <c r="D892" s="77"/>
    </row>
    <row r="893" spans="1:6" ht="16" thickBot="1" x14ac:dyDescent="0.4">
      <c r="B893" s="303">
        <f ca="1">[1]!stdnum_E($C$888)</f>
        <v>7480.7492739570389</v>
      </c>
      <c r="C893" s="84"/>
      <c r="D893" s="78"/>
    </row>
    <row r="894" spans="1:6" ht="16" thickTop="1" x14ac:dyDescent="0.35"/>
    <row r="896" spans="1:6" x14ac:dyDescent="0.35">
      <c r="A896" s="88" t="s">
        <v>1869</v>
      </c>
    </row>
    <row r="897" spans="1:7" x14ac:dyDescent="0.35">
      <c r="C897" s="22" t="s">
        <v>1863</v>
      </c>
    </row>
    <row r="898" spans="1:7" x14ac:dyDescent="0.35">
      <c r="A898" s="24">
        <f ca="1">RANDBETWEEN(10,30)*100</f>
        <v>2000</v>
      </c>
      <c r="B898" s="2" t="s">
        <v>1859</v>
      </c>
      <c r="D898" s="24">
        <f ca="1">A898*(1-A899)/(1+A900/365)^A901</f>
        <v>1923.9297021305654</v>
      </c>
      <c r="E898" s="2" t="s">
        <v>1858</v>
      </c>
      <c r="G898" s="2" t="str">
        <f ca="1">IF(MIN(D898,D904)&lt;MIN(D901,D907),"discounted","full")</f>
        <v>discounted</v>
      </c>
    </row>
    <row r="899" spans="1:7" x14ac:dyDescent="0.35">
      <c r="A899" s="324">
        <f ca="1">RANDBETWEEN(30,70)/1000</f>
        <v>3.5000000000000003E-2</v>
      </c>
      <c r="B899" s="2" t="s">
        <v>1855</v>
      </c>
      <c r="D899" s="325">
        <f ca="1">LOG(A898/D898)/LOG(1+A900/365)</f>
        <v>123.09537647743626</v>
      </c>
      <c r="E899" s="2" t="s">
        <v>1860</v>
      </c>
    </row>
    <row r="900" spans="1:7" x14ac:dyDescent="0.35">
      <c r="A900" s="14">
        <f ca="1">RANDBETWEEN(70,150)/1000</f>
        <v>0.115</v>
      </c>
      <c r="B900" s="2" t="s">
        <v>1856</v>
      </c>
      <c r="D900" s="325">
        <f ca="1">MROUND(D899+(IF(RANDBETWEEN(0,1)=0,1,-1))*20,5)</f>
        <v>105</v>
      </c>
      <c r="E900" s="2" t="s">
        <v>1861</v>
      </c>
    </row>
    <row r="901" spans="1:7" x14ac:dyDescent="0.35">
      <c r="A901" s="325">
        <f ca="1">RANDBETWEEN(1,6)*5</f>
        <v>10</v>
      </c>
      <c r="B901" s="2" t="s">
        <v>1857</v>
      </c>
      <c r="D901" s="24">
        <f ca="1">A898/(1+A900/365)^D900</f>
        <v>1934.9281601650646</v>
      </c>
      <c r="E901" s="2" t="s">
        <v>1862</v>
      </c>
    </row>
    <row r="903" spans="1:7" x14ac:dyDescent="0.35">
      <c r="C903" s="22" t="s">
        <v>1864</v>
      </c>
    </row>
    <row r="904" spans="1:7" x14ac:dyDescent="0.35">
      <c r="A904" s="24">
        <f ca="1">MROUND(A898*(1+RANDBETWEEN(3,7)/100)^(IF(RANDBETWEEN(0,1)=0,1,-1)),10)</f>
        <v>2100</v>
      </c>
      <c r="B904" s="2" t="s">
        <v>1859</v>
      </c>
      <c r="D904" s="24">
        <f ca="1">A904*(1-A905)/(1+A900/365)^A907</f>
        <v>2005.3583927237542</v>
      </c>
      <c r="E904" s="2" t="s">
        <v>1858</v>
      </c>
    </row>
    <row r="905" spans="1:7" x14ac:dyDescent="0.35">
      <c r="A905" s="324">
        <f ca="1">RANDBETWEEN(30,70)/1000</f>
        <v>3.5999999999999997E-2</v>
      </c>
      <c r="B905" s="2" t="s">
        <v>1855</v>
      </c>
      <c r="D905" s="325">
        <f ca="1">LOG(A904/D904)/LOG(1+A900/365)</f>
        <v>146.386629252549</v>
      </c>
      <c r="E905" s="2" t="s">
        <v>1860</v>
      </c>
    </row>
    <row r="906" spans="1:7" x14ac:dyDescent="0.35">
      <c r="A906" s="14"/>
      <c r="D906" s="325">
        <f ca="1">MROUND(D905+(IF(RANDBETWEEN(0,1)=0,1,-1))*20,5)</f>
        <v>125</v>
      </c>
      <c r="E906" s="2" t="s">
        <v>1861</v>
      </c>
    </row>
    <row r="907" spans="1:7" x14ac:dyDescent="0.35">
      <c r="A907" s="325">
        <f ca="1">RANDBETWEEN(1,6)*5</f>
        <v>30</v>
      </c>
      <c r="B907" s="2" t="s">
        <v>1857</v>
      </c>
      <c r="D907" s="24">
        <f ca="1">A904/(1+A900/365)^D906</f>
        <v>2018.9144905216699</v>
      </c>
      <c r="E907" s="2" t="s">
        <v>1862</v>
      </c>
    </row>
    <row r="909" spans="1:7" x14ac:dyDescent="0.35">
      <c r="B909" s="6" t="s">
        <v>1865</v>
      </c>
      <c r="C909" s="2" t="str">
        <f ca="1">IF(D898&lt;D901,"If you buy from supplier X the lowest present value of cost occurs when you pay the discounted price on day " &amp; A901,"If you buy from supplier X the lowest present value of cost occurs when you pay the full price on day " &amp;D900)</f>
        <v>If you buy from supplier X the lowest present value of cost occurs when you pay the discounted price on day 10</v>
      </c>
    </row>
    <row r="910" spans="1:7" x14ac:dyDescent="0.35">
      <c r="B910" s="6" t="s">
        <v>3223</v>
      </c>
      <c r="C910" s="2" t="str">
        <f ca="1">IF(D898&gt;D901,"If you buy from supplier X the lowest present value of cost occurs when you pay the discounted price on day " &amp; A901,"If you buy from supplier X the lowest present value of cost occurs when you pay the full price on day " &amp;D900)</f>
        <v>If you buy from supplier X the lowest present value of cost occurs when you pay the full price on day 105</v>
      </c>
    </row>
    <row r="911" spans="1:7" x14ac:dyDescent="0.35">
      <c r="B911" s="6" t="s">
        <v>1866</v>
      </c>
      <c r="C911" s="2" t="str">
        <f ca="1">IF(D904&lt;D907,"If you buy from supplier Z the lowest present value of cost occurs when you pay the discounted price on day " &amp; A907,"If you buy from supplier Z the lowest present value of cost occurs when you pay the full price on day " &amp;D906)</f>
        <v>If you buy from supplier Z the lowest present value of cost occurs when you pay the discounted price on day 30</v>
      </c>
    </row>
    <row r="912" spans="1:7" x14ac:dyDescent="0.35">
      <c r="B912" s="6" t="s">
        <v>3224</v>
      </c>
      <c r="C912" s="2" t="str">
        <f ca="1">IF(D904&gt;D907,"If you buy from supplier Z the lowest present value of cost occurs when you pay the discounted price on day " &amp; A907,"If you buy from supplier Z the lowest present value of cost occurs when you pay the full price on day " &amp;D906)</f>
        <v>If you buy from supplier Z the lowest present value of cost occurs when you pay the full price on day 125</v>
      </c>
    </row>
    <row r="913" spans="1:6" x14ac:dyDescent="0.35">
      <c r="B913" s="6" t="s">
        <v>1867</v>
      </c>
      <c r="C913" s="2" t="str">
        <f ca="1">IF(MIN(D898,D901)&lt;MIN(D904,D907),"The lowest possible present value of cost occurs when you pay the " &amp; G898 &amp; " price from supplier X","The lowest possible present value of cost occurs when you pay the " &amp; G898 &amp; " price from supplier Z")</f>
        <v>The lowest possible present value of cost occurs when you pay the discounted price from supplier X</v>
      </c>
    </row>
    <row r="914" spans="1:6" x14ac:dyDescent="0.35">
      <c r="B914" s="6" t="s">
        <v>3225</v>
      </c>
      <c r="C914" s="2" t="str">
        <f ca="1">IF(MIN(D898,D901)&gt;MIN(D904,D907),"The lowest possible present value of cost occurs when you pay the " &amp; G898 &amp; " price from supplier X","The lowest possible present value of cost occurs when you pay the " &amp; G898 &amp; " price from supplier Z")</f>
        <v>The lowest possible present value of cost occurs when you pay the discounted price from supplier Z</v>
      </c>
    </row>
    <row r="915" spans="1:6" ht="16" thickBot="1" x14ac:dyDescent="0.4"/>
    <row r="916" spans="1:6" ht="16.5" thickTop="1" thickBot="1" x14ac:dyDescent="0.4">
      <c r="B916" s="76" t="str">
        <f ca="1">[1]!alpha_ans($C$916)</f>
        <v>B</v>
      </c>
      <c r="C916" s="79" t="str">
        <f ca="1" xml:space="preserve"> "/\" &amp;RANDBETWEEN( 1,5) &amp; "/\" &amp;RANDBETWEEN( 1,3) &amp; "/\" &amp;RANDBETWEEN( 1,2) &amp; "/\" &amp;C909 &amp; "/\" &amp; C910 &amp; "/\" &amp; C911 &amp; "/\" &amp; C912 &amp; "/\" &amp; C913 &amp; "/\" &amp; C914</f>
        <v>/\2/\1/\1/\If you buy from supplier X the lowest present value of cost occurs when you pay the discounted price on day 10/\If you buy from supplier X the lowest present value of cost occurs when you pay the full price on day 105/\If you buy from supplier Z the lowest present value of cost occurs when you pay the discounted price on day 30/\If you buy from supplier Z the lowest present value of cost occurs when you pay the full price on day 125/\The lowest possible present value of cost occurs when you pay the discounted price from supplier X/\The lowest possible present value of cost occurs when you pay the discounted price from supplier Z</v>
      </c>
      <c r="D916" s="80" t="s">
        <v>1868</v>
      </c>
    </row>
    <row r="917" spans="1:6" ht="16" thickTop="1" x14ac:dyDescent="0.35">
      <c r="B917" s="81" t="str">
        <f ca="1">[1]!complexV_A($C$916)</f>
        <v>If you buy from supplier X the lowest present value of cost occurs when you pay the full price on day 105</v>
      </c>
      <c r="C917" s="82"/>
      <c r="D917" s="77"/>
    </row>
    <row r="918" spans="1:6" x14ac:dyDescent="0.35">
      <c r="B918" s="81" t="str">
        <f ca="1">[1]!complexV_B($C$916)</f>
        <v>If you buy from supplier Z the lowest present value of cost occurs when you pay the discounted price on day 30</v>
      </c>
      <c r="C918" s="82"/>
      <c r="D918" s="77"/>
    </row>
    <row r="919" spans="1:6" x14ac:dyDescent="0.35">
      <c r="B919" s="81" t="str">
        <f ca="1">[1]!complexV_C($C$916)</f>
        <v>The lowest possible present value of cost occurs when you pay the discounted price from supplier Z</v>
      </c>
      <c r="C919" s="82"/>
      <c r="D919" s="77"/>
    </row>
    <row r="920" spans="1:6" x14ac:dyDescent="0.35">
      <c r="B920" s="81" t="str">
        <f ca="1">[1]!complexV_D($C$916)</f>
        <v>Two choices, A and B, are correct</v>
      </c>
      <c r="C920" s="82"/>
      <c r="D920" s="77"/>
    </row>
    <row r="921" spans="1:6" ht="16" thickBot="1" x14ac:dyDescent="0.4">
      <c r="B921" s="83" t="str">
        <f ca="1">[1]!complexV_E($C$916)</f>
        <v>The three A-B-C choices are all correct</v>
      </c>
      <c r="C921" s="84"/>
      <c r="D921" s="78"/>
    </row>
    <row r="922" spans="1:6" ht="16" thickTop="1" x14ac:dyDescent="0.35"/>
    <row r="924" spans="1:6" x14ac:dyDescent="0.35">
      <c r="A924" s="88" t="s">
        <v>925</v>
      </c>
    </row>
    <row r="925" spans="1:6" x14ac:dyDescent="0.35">
      <c r="A925" s="24">
        <f ca="1">RANDBETWEEN(10,30)*2500</f>
        <v>60000</v>
      </c>
      <c r="B925" s="2" t="s">
        <v>2839</v>
      </c>
      <c r="E925" s="24">
        <f ca="1">A925*(1+A926)^A928</f>
        <v>72376.30058496003</v>
      </c>
      <c r="F925" s="2" t="s">
        <v>923</v>
      </c>
    </row>
    <row r="926" spans="1:6" x14ac:dyDescent="0.35">
      <c r="A926" s="324">
        <f ca="1">RANDBETWEEN(30,70)/1000</f>
        <v>4.8000000000000001E-2</v>
      </c>
      <c r="B926" s="2" t="s">
        <v>922</v>
      </c>
    </row>
    <row r="927" spans="1:6" x14ac:dyDescent="0.35">
      <c r="A927" s="14">
        <f ca="1">A926+RANDBETWEEN(30,60)/1000</f>
        <v>0.09</v>
      </c>
      <c r="B927" s="2" t="s">
        <v>977</v>
      </c>
    </row>
    <row r="928" spans="1:6" x14ac:dyDescent="0.35">
      <c r="A928" s="325">
        <f ca="1">RANDBETWEEN(1,6)</f>
        <v>4</v>
      </c>
      <c r="B928" s="2" t="s">
        <v>2471</v>
      </c>
    </row>
    <row r="929" spans="1:10" ht="16" thickBot="1" x14ac:dyDescent="0.4"/>
    <row r="930" spans="1:10" ht="16.5" thickTop="1" thickBot="1" x14ac:dyDescent="0.4">
      <c r="B930" s="76" t="str">
        <f ca="1">[1]!std_ans($C$930)</f>
        <v>B</v>
      </c>
      <c r="C930" s="79" t="str">
        <f ca="1" xml:space="preserve"> "/\" &amp;RANDBETWEEN( 1,120) &amp; "/\" &amp;RANDBETWEEN( 1,120) &amp; "/\" &amp;0.1 &amp; "/\" &amp; E925</f>
        <v>/\98/\104/\0.1/\72376.30058496</v>
      </c>
      <c r="D930" s="80" t="s">
        <v>924</v>
      </c>
    </row>
    <row r="931" spans="1:10" ht="16" thickTop="1" x14ac:dyDescent="0.35">
      <c r="B931" s="101">
        <f ca="1">[1]!stdnum_A($C$930)</f>
        <v>59815.124450380157</v>
      </c>
      <c r="C931" s="82"/>
      <c r="D931" s="77"/>
    </row>
    <row r="932" spans="1:10" x14ac:dyDescent="0.35">
      <c r="B932" s="101">
        <f ca="1">[1]!stdnum_B($C$930)</f>
        <v>72376.300584960001</v>
      </c>
      <c r="C932" s="82"/>
      <c r="D932" s="77"/>
    </row>
    <row r="933" spans="1:10" x14ac:dyDescent="0.35">
      <c r="B933" s="101">
        <f ca="1">[1]!stdnum_C($C$930)</f>
        <v>54377.385863981952</v>
      </c>
      <c r="C933" s="82"/>
      <c r="D933" s="77"/>
    </row>
    <row r="934" spans="1:10" x14ac:dyDescent="0.35">
      <c r="B934" s="101">
        <f ca="1">[1]!stdnum_D($C$930)</f>
        <v>65796.636895418182</v>
      </c>
      <c r="C934" s="82"/>
      <c r="D934" s="77"/>
    </row>
    <row r="935" spans="1:10" ht="16" thickBot="1" x14ac:dyDescent="0.4">
      <c r="B935" s="102">
        <f ca="1">[1]!stdnum_E($C$930)</f>
        <v>49433.987149074506</v>
      </c>
      <c r="C935" s="84"/>
      <c r="D935" s="78"/>
    </row>
    <row r="936" spans="1:10" ht="16" thickTop="1" x14ac:dyDescent="0.35"/>
    <row r="938" spans="1:10" x14ac:dyDescent="0.35">
      <c r="A938" s="120" t="s">
        <v>3525</v>
      </c>
    </row>
    <row r="939" spans="1:10" x14ac:dyDescent="0.35">
      <c r="A939" s="8">
        <f ca="1">RANDBETWEEN(25,50)*4000</f>
        <v>108000</v>
      </c>
      <c r="B939" s="2" t="s">
        <v>2461</v>
      </c>
      <c r="E939" s="8">
        <f ca="1">A939*(1+A940)^A941</f>
        <v>141151.68069221248</v>
      </c>
      <c r="F939" s="2" t="s">
        <v>3037</v>
      </c>
    </row>
    <row r="940" spans="1:10" x14ac:dyDescent="0.35">
      <c r="A940" s="14">
        <f ca="1">RANDBETWEEN(15,80)/1000</f>
        <v>5.5E-2</v>
      </c>
      <c r="B940" s="2" t="s">
        <v>2462</v>
      </c>
      <c r="E940" s="8">
        <f ca="1">E939/(1+A942)^A941</f>
        <v>89255.149737503001</v>
      </c>
      <c r="F940" s="2" t="s">
        <v>3595</v>
      </c>
    </row>
    <row r="941" spans="1:10" x14ac:dyDescent="0.35">
      <c r="A941" s="2">
        <f ca="1">RANDBETWEEN(3,8)</f>
        <v>5</v>
      </c>
      <c r="B941" s="2" t="s">
        <v>2463</v>
      </c>
      <c r="E941" s="29">
        <f ca="1">(1+A942)/(1+A940)-1</f>
        <v>3.8862559241706229E-2</v>
      </c>
      <c r="F941" s="2" t="s">
        <v>3523</v>
      </c>
    </row>
    <row r="942" spans="1:10" x14ac:dyDescent="0.35">
      <c r="A942" s="15">
        <f ca="1">A940+RANDBETWEEN(30,60)/1000</f>
        <v>9.6000000000000002E-2</v>
      </c>
      <c r="B942" s="2" t="s">
        <v>2995</v>
      </c>
    </row>
    <row r="944" spans="1:10" ht="16" thickBot="1" x14ac:dyDescent="0.4">
      <c r="B944" s="120" t="s">
        <v>3526</v>
      </c>
      <c r="F944" s="120" t="s">
        <v>3528</v>
      </c>
      <c r="J944" s="120" t="s">
        <v>2008</v>
      </c>
    </row>
    <row r="945" spans="1:12" ht="16.5" thickTop="1" thickBot="1" x14ac:dyDescent="0.4">
      <c r="B945" s="76" t="str">
        <f ca="1">[1]!std_ans($C$945)</f>
        <v>A</v>
      </c>
      <c r="C945" s="79" t="str">
        <f ca="1" xml:space="preserve"> "/\" &amp;RANDBETWEEN( 1,120) &amp; "/\" &amp;RANDBETWEEN( 1,120) &amp; "/\" &amp;0.1 &amp; "/\" &amp; E941</f>
        <v>/\2/\10/\0.1/\0.0388625592417062</v>
      </c>
      <c r="D945" s="80" t="s">
        <v>3524</v>
      </c>
      <c r="F945" s="76" t="str">
        <f ca="1">[1]!std_ans($G$945)</f>
        <v>D</v>
      </c>
      <c r="G945" s="79" t="str">
        <f ca="1" xml:space="preserve"> "/\" &amp;RANDBETWEEN( 1,120) &amp; "/\" &amp;RANDBETWEEN( 1,120) &amp; "/\" &amp;0.1 &amp; "/\" &amp; E939</f>
        <v>/\39/\90/\0.1/\141151.680692212</v>
      </c>
      <c r="H945" s="80" t="s">
        <v>3527</v>
      </c>
      <c r="J945" s="76" t="str">
        <f ca="1">[1]!std_ans($K$945)</f>
        <v>B</v>
      </c>
      <c r="K945" s="79" t="str">
        <f ca="1" xml:space="preserve"> "/\" &amp;RANDBETWEEN( 1,120) &amp; "/\" &amp;RANDBETWEEN( 1,120) &amp; "/\" &amp;0.1 &amp; "/\" &amp; E940</f>
        <v>/\30/\76/\0.1/\89255.149737503</v>
      </c>
      <c r="L945" s="80" t="s">
        <v>2009</v>
      </c>
    </row>
    <row r="946" spans="1:12" ht="16" thickTop="1" x14ac:dyDescent="0.35">
      <c r="B946" s="108">
        <f ca="1">[1]!stdnum_A($C$945)</f>
        <v>3.8862559241706202E-2</v>
      </c>
      <c r="C946" s="82"/>
      <c r="D946" s="77"/>
      <c r="F946" s="101">
        <f ca="1">[1]!stdnum_A($G$945)</f>
        <v>128319.70972019271</v>
      </c>
      <c r="G946" s="82"/>
      <c r="H946" s="77"/>
      <c r="J946" s="101">
        <f ca="1">[1]!stdnum_A($K$945)</f>
        <v>67058.715054472559</v>
      </c>
      <c r="K946" s="82"/>
      <c r="L946" s="77"/>
    </row>
    <row r="947" spans="1:12" x14ac:dyDescent="0.35">
      <c r="B947" s="108">
        <f ca="1">[1]!stdnum_B($C$945)</f>
        <v>4.7023696682464512E-2</v>
      </c>
      <c r="C947" s="82"/>
      <c r="D947" s="77"/>
      <c r="F947" s="101">
        <f ca="1">[1]!stdnum_B($G$945)</f>
        <v>116654.28156381154</v>
      </c>
      <c r="G947" s="82"/>
      <c r="H947" s="77"/>
      <c r="J947" s="101">
        <f ca="1">[1]!stdnum_B($K$945)</f>
        <v>89255.149737503001</v>
      </c>
      <c r="K947" s="82"/>
      <c r="L947" s="77"/>
    </row>
    <row r="948" spans="1:12" x14ac:dyDescent="0.35">
      <c r="B948" s="108">
        <f ca="1">[1]!stdnum_C($C$945)</f>
        <v>5.1726066350710968E-2</v>
      </c>
      <c r="C948" s="82"/>
      <c r="D948" s="77"/>
      <c r="F948" s="101">
        <f ca="1">[1]!stdnum_C($G$945)</f>
        <v>155266.84876143321</v>
      </c>
      <c r="G948" s="82"/>
      <c r="H948" s="77"/>
      <c r="J948" s="101">
        <f ca="1">[1]!stdnum_C($K$945)</f>
        <v>73764.58655991983</v>
      </c>
      <c r="K948" s="82"/>
      <c r="L948" s="77"/>
    </row>
    <row r="949" spans="1:12" x14ac:dyDescent="0.35">
      <c r="B949" s="108">
        <f ca="1">[1]!stdnum_D($C$945)</f>
        <v>4.2748815165876822E-2</v>
      </c>
      <c r="C949" s="82"/>
      <c r="D949" s="77"/>
      <c r="F949" s="101">
        <f ca="1">[1]!stdnum_D($G$945)</f>
        <v>141151.68069221199</v>
      </c>
      <c r="G949" s="82"/>
      <c r="H949" s="77"/>
      <c r="J949" s="101">
        <f ca="1">[1]!stdnum_D($K$945)</f>
        <v>98180.66471125331</v>
      </c>
      <c r="K949" s="82"/>
      <c r="L949" s="77"/>
    </row>
    <row r="950" spans="1:12" ht="16" thickBot="1" x14ac:dyDescent="0.4">
      <c r="B950" s="109">
        <f ca="1">[1]!stdnum_E($C$945)</f>
        <v>5.6898672985782064E-2</v>
      </c>
      <c r="C950" s="84"/>
      <c r="D950" s="78"/>
      <c r="F950" s="102">
        <f ca="1">[1]!stdnum_E($G$945)</f>
        <v>106049.3468761923</v>
      </c>
      <c r="G950" s="84"/>
      <c r="H950" s="78"/>
      <c r="J950" s="102">
        <f ca="1">[1]!stdnum_E($K$945)</f>
        <v>81141.045215911814</v>
      </c>
      <c r="K950" s="84"/>
      <c r="L950" s="78"/>
    </row>
    <row r="951" spans="1:12" ht="16" thickTop="1" x14ac:dyDescent="0.35"/>
    <row r="954" spans="1:12" x14ac:dyDescent="0.35">
      <c r="A954" s="120" t="s">
        <v>1477</v>
      </c>
    </row>
    <row r="955" spans="1:12" x14ac:dyDescent="0.35">
      <c r="A955" s="8">
        <f ca="1">RANDBETWEEN(25,50)*4000</f>
        <v>168000</v>
      </c>
      <c r="B955" s="2" t="s">
        <v>2461</v>
      </c>
      <c r="E955" s="8">
        <f ca="1">A955*(1+A956)^A957</f>
        <v>197293.23763984797</v>
      </c>
      <c r="F955" s="2" t="s">
        <v>3037</v>
      </c>
    </row>
    <row r="956" spans="1:12" x14ac:dyDescent="0.35">
      <c r="A956" s="14">
        <f ca="1">RANDBETWEEN(15,80)/1000</f>
        <v>4.1000000000000002E-2</v>
      </c>
      <c r="B956" s="2" t="s">
        <v>2462</v>
      </c>
      <c r="E956" s="8">
        <f ca="1">ROUND((E955*RANDBETWEEN(85,95)/100)/(1+C958)^A957,-3)</f>
        <v>119000</v>
      </c>
      <c r="F956" s="2" t="s">
        <v>3595</v>
      </c>
    </row>
    <row r="957" spans="1:12" x14ac:dyDescent="0.35">
      <c r="A957" s="2">
        <f ca="1">RANDBETWEEN(3,8)</f>
        <v>4</v>
      </c>
      <c r="B957" s="2" t="s">
        <v>2463</v>
      </c>
      <c r="E957" s="14">
        <f ca="1">(1+A958)/(1+A956)-1</f>
        <v>9.0035344184769661E-2</v>
      </c>
      <c r="F957" s="2" t="s">
        <v>3523</v>
      </c>
    </row>
    <row r="958" spans="1:12" x14ac:dyDescent="0.35">
      <c r="A958" s="14">
        <f ca="1">(E955/E956)^(1/A957)-1</f>
        <v>0.13472679329634518</v>
      </c>
      <c r="B958" s="2" t="s">
        <v>2995</v>
      </c>
      <c r="C958" s="15">
        <f ca="1">A956+RANDBETWEEN(30,60)/1000</f>
        <v>0.09</v>
      </c>
    </row>
    <row r="960" spans="1:12" ht="16" thickBot="1" x14ac:dyDescent="0.4">
      <c r="B960" s="120" t="s">
        <v>1479</v>
      </c>
      <c r="F960" s="120" t="s">
        <v>1481</v>
      </c>
      <c r="J960" s="120" t="s">
        <v>1513</v>
      </c>
    </row>
    <row r="961" spans="1:12" ht="16.5" thickTop="1" thickBot="1" x14ac:dyDescent="0.4">
      <c r="B961" s="76" t="str">
        <f ca="1">[1]!std_ans($C$961)</f>
        <v>A</v>
      </c>
      <c r="C961" s="79" t="str">
        <f ca="1" xml:space="preserve"> "/\" &amp;RANDBETWEEN( 1,120) &amp; "/\" &amp;RANDBETWEEN( 1,120) &amp; "/\" &amp;0.1 &amp; "/\" &amp; A958</f>
        <v>/\6/\53/\0.1/\0.134726793296345</v>
      </c>
      <c r="D961" s="80" t="s">
        <v>1478</v>
      </c>
      <c r="F961" s="76" t="str">
        <f ca="1">[1]!std_ans($G$961)</f>
        <v>A</v>
      </c>
      <c r="G961" s="79" t="str">
        <f ca="1" xml:space="preserve"> "/\" &amp;RANDBETWEEN( 1,120) &amp; "/\" &amp;RANDBETWEEN( 1,120) &amp; "/\" &amp;0.1 &amp; "/\" &amp; E957</f>
        <v>/\3/\84/\0.1/\0.0900353441847697</v>
      </c>
      <c r="H961" s="80" t="s">
        <v>1480</v>
      </c>
      <c r="J961" s="76" t="str">
        <f ca="1">[1]!alpha_ans($K$961)</f>
        <v>C</v>
      </c>
      <c r="K961" s="79" t="str">
        <f ca="1" xml:space="preserve"> "/\" &amp;RANDBETWEEN( 1,5) &amp; "/\" &amp;RANDBETWEEN( 1,120) &amp; "/\" &amp;RANDBETWEEN( 1,6) &amp; "/\" &amp;RANDBETWEEN( 1,2) &amp; "/\" &amp; A958 &amp; "/\" &amp; "Mask" &amp; "/\" &amp; "Mask" &amp; "/\" &amp; E957 &amp; "/\" &amp; "Mask"</f>
        <v>/\3/\43/\4/\1/\0.134726793296345/\Mask/\Mask/\0.0900353441847697/\Mask</v>
      </c>
      <c r="L961" s="80" t="s">
        <v>3162</v>
      </c>
    </row>
    <row r="962" spans="1:12" ht="16" thickTop="1" x14ac:dyDescent="0.35">
      <c r="B962" s="92">
        <f ca="1">[1]!stdnum_A($C$961)</f>
        <v>0.13472679329634499</v>
      </c>
      <c r="C962" s="82"/>
      <c r="D962" s="77"/>
      <c r="F962" s="92">
        <f ca="1">[1]!stdnum_A($G$961)</f>
        <v>9.0035344184769703E-2</v>
      </c>
      <c r="G962" s="82"/>
      <c r="H962" s="77"/>
      <c r="J962" s="92">
        <f ca="1">[1]!onepair_A($K$961)</f>
        <v>0.154935812290797</v>
      </c>
      <c r="K962" s="242">
        <f ca="1">[1]!onepair_A2($K$961)</f>
        <v>9.0035344184769703E-2</v>
      </c>
      <c r="L962" s="77"/>
    </row>
    <row r="963" spans="1:12" x14ac:dyDescent="0.35">
      <c r="B963" s="92">
        <f ca="1">[1]!stdnum_B($C$961)</f>
        <v>0.11134445726970658</v>
      </c>
      <c r="C963" s="82"/>
      <c r="D963" s="77"/>
      <c r="F963" s="92">
        <f ca="1">[1]!stdnum_B($G$961)</f>
        <v>7.4409375359313801E-2</v>
      </c>
      <c r="G963" s="82"/>
      <c r="H963" s="77"/>
      <c r="J963" s="92">
        <f ca="1">[1]!onepair_B($K$961)</f>
        <v>0.11715373330117</v>
      </c>
      <c r="K963" s="242">
        <f ca="1">[1]!onepair_B2($K$961)</f>
        <v>7.8291603638930202E-2</v>
      </c>
      <c r="L963" s="77"/>
    </row>
    <row r="964" spans="1:12" x14ac:dyDescent="0.35">
      <c r="B964" s="92">
        <f ca="1">[1]!stdnum_C($C$961)</f>
        <v>0.14819947262597949</v>
      </c>
      <c r="C964" s="82"/>
      <c r="D964" s="77"/>
      <c r="F964" s="92">
        <f ca="1">[1]!stdnum_C($G$961)</f>
        <v>8.1850312895245178E-2</v>
      </c>
      <c r="G964" s="82"/>
      <c r="H964" s="77"/>
      <c r="J964" s="92">
        <f ca="1">[1]!onepair_C($K$961)</f>
        <v>0.13472679329634499</v>
      </c>
      <c r="K964" s="242">
        <f ca="1">[1]!onepair_C2($K$961)</f>
        <v>9.0035344184769703E-2</v>
      </c>
      <c r="L964" s="77"/>
    </row>
    <row r="965" spans="1:12" x14ac:dyDescent="0.35">
      <c r="B965" s="92">
        <f ca="1">[1]!stdnum_D($C$961)</f>
        <v>0.12247890299667726</v>
      </c>
      <c r="C965" s="82"/>
      <c r="D965" s="77"/>
      <c r="F965" s="92">
        <f ca="1">[1]!stdnum_D($G$961)</f>
        <v>9.9038878603246686E-2</v>
      </c>
      <c r="G965" s="82"/>
      <c r="H965" s="77"/>
      <c r="J965" s="92">
        <f ca="1">[1]!onepair_D($K$961)</f>
        <v>0.154935812290797</v>
      </c>
      <c r="K965" s="242">
        <f ca="1">[1]!onepair_D2($K$961)</f>
        <v>7.8291603638930202E-2</v>
      </c>
      <c r="L965" s="77"/>
    </row>
    <row r="966" spans="1:12" ht="16" thickBot="1" x14ac:dyDescent="0.4">
      <c r="B966" s="93">
        <f ca="1">[1]!stdnum_E($C$961)</f>
        <v>0.16301941988857746</v>
      </c>
      <c r="C966" s="84"/>
      <c r="D966" s="78"/>
      <c r="F966" s="93">
        <f ca="1">[1]!stdnum_E($G$961)</f>
        <v>6.7644886690285261E-2</v>
      </c>
      <c r="G966" s="84"/>
      <c r="H966" s="78"/>
      <c r="J966" s="93">
        <f ca="1">[1]!onepair_E($K$961)</f>
        <v>0.11715373330117</v>
      </c>
      <c r="K966" s="299">
        <f ca="1">[1]!onepair_E2($K$961)</f>
        <v>9.0035344184769703E-2</v>
      </c>
      <c r="L966" s="78"/>
    </row>
    <row r="967" spans="1:12" ht="16" thickTop="1" x14ac:dyDescent="0.35"/>
    <row r="969" spans="1:12" x14ac:dyDescent="0.35">
      <c r="A969" s="88" t="s">
        <v>3669</v>
      </c>
    </row>
    <row r="970" spans="1:12" x14ac:dyDescent="0.35">
      <c r="A970" s="8">
        <f ca="1">RANDBETWEEN(30,60)*100</f>
        <v>5800</v>
      </c>
      <c r="B970" s="2" t="s">
        <v>2228</v>
      </c>
      <c r="D970" s="8">
        <f ca="1">A970/(1+A975)^C971+A972/(1+A975)^C973</f>
        <v>6207.8886357049614</v>
      </c>
      <c r="E970" s="2" t="s">
        <v>2203</v>
      </c>
      <c r="I970" s="8">
        <f ca="1">D973/(1+G972)^(C973-C971)</f>
        <v>3167.0991231998942</v>
      </c>
      <c r="J970" s="2" t="s">
        <v>3066</v>
      </c>
    </row>
    <row r="971" spans="1:12" x14ac:dyDescent="0.35">
      <c r="A971" s="2">
        <f ca="1">RANDBETWEEN(2,6)</f>
        <v>4</v>
      </c>
      <c r="B971" s="2" t="s">
        <v>2227</v>
      </c>
      <c r="C971" s="2">
        <f ca="1">A971*J972</f>
        <v>16</v>
      </c>
      <c r="D971" s="2">
        <f ca="1">RANDBETWEEN(8,25)*10</f>
        <v>230</v>
      </c>
      <c r="E971" s="2" t="s">
        <v>1433</v>
      </c>
      <c r="J971" s="2" t="str">
        <f ca="1">IF(J973=1,"monthly","quarterly")</f>
        <v>quarterly</v>
      </c>
    </row>
    <row r="972" spans="1:12" x14ac:dyDescent="0.35">
      <c r="A972" s="8">
        <f ca="1">RANDBETWEEN(60,90)*100</f>
        <v>7100</v>
      </c>
      <c r="B972" s="2" t="s">
        <v>3221</v>
      </c>
      <c r="D972" s="15">
        <f ca="1">A974-D971/10000</f>
        <v>9.2999999999999999E-2</v>
      </c>
      <c r="E972" s="2" t="s">
        <v>1435</v>
      </c>
      <c r="G972" s="2">
        <f ca="1">D972/J972</f>
        <v>2.325E-2</v>
      </c>
      <c r="J972" s="2">
        <f ca="1">IF(J973=1,12,4)</f>
        <v>4</v>
      </c>
    </row>
    <row r="973" spans="1:12" x14ac:dyDescent="0.35">
      <c r="A973" s="2">
        <f ca="1">RANDBETWEEN(7,10)</f>
        <v>9</v>
      </c>
      <c r="B973" s="2" t="s">
        <v>2202</v>
      </c>
      <c r="C973" s="2">
        <f ca="1">A973*J972</f>
        <v>36</v>
      </c>
      <c r="D973" s="8">
        <f ca="1">(D970*(1+G972)^C971-A970)*(1+G972)^(C973-C971)</f>
        <v>5015.297760566852</v>
      </c>
      <c r="E973" s="2" t="s">
        <v>1434</v>
      </c>
      <c r="J973" s="2">
        <f ca="1">(RANDBETWEEN(0,1))</f>
        <v>0</v>
      </c>
    </row>
    <row r="974" spans="1:12" x14ac:dyDescent="0.35">
      <c r="A974" s="14">
        <f ca="1">RANDBETWEEN(80,180)/1000</f>
        <v>0.11600000000000001</v>
      </c>
      <c r="B974" s="2" t="s">
        <v>1747</v>
      </c>
      <c r="D974" s="10">
        <f ca="1">A972-D973</f>
        <v>2084.702239433148</v>
      </c>
      <c r="E974" s="2" t="s">
        <v>3837</v>
      </c>
    </row>
    <row r="975" spans="1:12" x14ac:dyDescent="0.35">
      <c r="A975" s="2">
        <f ca="1">A974/J972</f>
        <v>2.9000000000000001E-2</v>
      </c>
      <c r="B975" s="2" t="s">
        <v>3065</v>
      </c>
    </row>
    <row r="976" spans="1:12" ht="16" thickBot="1" x14ac:dyDescent="0.4"/>
    <row r="977" spans="2:4" ht="16.5" thickTop="1" thickBot="1" x14ac:dyDescent="0.4">
      <c r="B977" s="76" t="str">
        <f ca="1">[1]!std_ans($C$977)</f>
        <v>E</v>
      </c>
      <c r="C977" s="79" t="str">
        <f ca="1" xml:space="preserve"> "/\" &amp;RANDBETWEEN( 1,120) &amp; "/\" &amp;RANDBETWEEN( 1,120) &amp; "/\" &amp;0.1 &amp; "/\" &amp; D974</f>
        <v>/\58/\19/\0.1/\2084.70223943315</v>
      </c>
      <c r="D977" s="80" t="s">
        <v>3067</v>
      </c>
    </row>
    <row r="978" spans="2:4" ht="16" thickTop="1" x14ac:dyDescent="0.35">
      <c r="B978" s="101">
        <f ca="1">[1]!stdnum_A($C$977)</f>
        <v>2293.1724633764657</v>
      </c>
      <c r="C978" s="82"/>
      <c r="D978" s="77"/>
    </row>
    <row r="979" spans="2:4" x14ac:dyDescent="0.35">
      <c r="B979" s="101">
        <f ca="1">[1]!stdnum_B($C$977)</f>
        <v>3052.2125487540761</v>
      </c>
      <c r="C979" s="82"/>
      <c r="D979" s="77"/>
    </row>
    <row r="980" spans="2:4" x14ac:dyDescent="0.35">
      <c r="B980" s="101">
        <f ca="1">[1]!stdnum_C($C$977)</f>
        <v>2522.489709714112</v>
      </c>
      <c r="C980" s="82"/>
      <c r="D980" s="77"/>
    </row>
    <row r="981" spans="2:4" x14ac:dyDescent="0.35">
      <c r="B981" s="101">
        <f ca="1">[1]!stdnum_D($C$977)</f>
        <v>2774.7386806855238</v>
      </c>
      <c r="C981" s="82"/>
      <c r="D981" s="77"/>
    </row>
    <row r="982" spans="2:4" ht="16" thickBot="1" x14ac:dyDescent="0.4">
      <c r="B982" s="102">
        <f ca="1">[1]!stdnum_E($C$977)</f>
        <v>2084.7022394331502</v>
      </c>
      <c r="C982" s="84"/>
      <c r="D982" s="78"/>
    </row>
    <row r="983" spans="2:4" ht="16" thickTop="1" x14ac:dyDescent="0.35"/>
  </sheetData>
  <phoneticPr fontId="0" type="noConversion"/>
  <pageMargins left="0.75" right="0.75" top="1" bottom="1" header="0.5" footer="0.5"/>
  <pageSetup orientation="portrait" horizontalDpi="96" verticalDpi="96"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dimension ref="A10:P747"/>
  <sheetViews>
    <sheetView workbookViewId="0"/>
  </sheetViews>
  <sheetFormatPr defaultColWidth="10.58203125" defaultRowHeight="15.5" x14ac:dyDescent="0.35"/>
  <cols>
    <col min="1" max="7" width="10.58203125" style="2" customWidth="1"/>
    <col min="8" max="8" width="11.83203125" style="2" customWidth="1"/>
    <col min="9" max="16384" width="10.58203125" style="2"/>
  </cols>
  <sheetData>
    <row r="10" spans="1:7" x14ac:dyDescent="0.35">
      <c r="A10" s="88" t="s">
        <v>3075</v>
      </c>
    </row>
    <row r="11" spans="1:7" x14ac:dyDescent="0.35">
      <c r="A11" s="8">
        <f ca="1">RANDBETWEEN(10,30)*10</f>
        <v>170</v>
      </c>
      <c r="B11" s="2" t="s">
        <v>382</v>
      </c>
      <c r="F11" s="33">
        <f ca="1">-PV(A12/12,A13,A11,A14)</f>
        <v>2828.5627190696132</v>
      </c>
      <c r="G11" s="2" t="s">
        <v>384</v>
      </c>
    </row>
    <row r="12" spans="1:7" x14ac:dyDescent="0.35">
      <c r="A12" s="9">
        <f ca="1">RANDBETWEEN(75,105)/1000</f>
        <v>9.4E-2</v>
      </c>
      <c r="B12" s="2" t="s">
        <v>381</v>
      </c>
    </row>
    <row r="13" spans="1:7" x14ac:dyDescent="0.35">
      <c r="A13" s="91">
        <f ca="1">RANDBETWEEN(10,30)</f>
        <v>14</v>
      </c>
      <c r="B13" s="2" t="s">
        <v>115</v>
      </c>
      <c r="D13" s="91"/>
    </row>
    <row r="14" spans="1:7" x14ac:dyDescent="0.35">
      <c r="A14" s="8">
        <f ca="1">RANDBETWEEN(10,30)*25</f>
        <v>650</v>
      </c>
      <c r="B14" s="2" t="s">
        <v>383</v>
      </c>
    </row>
    <row r="15" spans="1:7" ht="16" thickBot="1" x14ac:dyDescent="0.4"/>
    <row r="16" spans="1:7" ht="16.5" thickTop="1" thickBot="1" x14ac:dyDescent="0.4">
      <c r="B16" s="76" t="str">
        <f ca="1">[1]!std_ans($C$16)</f>
        <v>C</v>
      </c>
      <c r="C16" s="79" t="str">
        <f ca="1" xml:space="preserve"> "/\" &amp;RANDBETWEEN( 1,120) &amp; "/\" &amp;RANDBETWEEN( 1,120) &amp; "/\" &amp;0.1 &amp; "/\" &amp; F11</f>
        <v>/\115/\80/\0.1/\2828.56271906961</v>
      </c>
      <c r="D16" s="80" t="s">
        <v>116</v>
      </c>
    </row>
    <row r="17" spans="1:7" ht="16" thickTop="1" x14ac:dyDescent="0.35">
      <c r="B17" s="89">
        <f ca="1">[1]!stdnum_A($C$16)</f>
        <v>2571.4206536996453</v>
      </c>
      <c r="C17" s="82"/>
      <c r="D17" s="77"/>
    </row>
    <row r="18" spans="1:7" x14ac:dyDescent="0.35">
      <c r="B18" s="89">
        <f ca="1">[1]!stdnum_B($C$16)</f>
        <v>3111.4189909765714</v>
      </c>
      <c r="C18" s="82"/>
      <c r="D18" s="77"/>
    </row>
    <row r="19" spans="1:7" x14ac:dyDescent="0.35">
      <c r="B19" s="89">
        <f ca="1">[1]!stdnum_C($C$16)</f>
        <v>2828.56271906961</v>
      </c>
      <c r="C19" s="82"/>
      <c r="D19" s="77"/>
    </row>
    <row r="20" spans="1:7" x14ac:dyDescent="0.35">
      <c r="B20" s="89">
        <f ca="1">[1]!stdnum_D($C$16)</f>
        <v>2337.65513972695</v>
      </c>
      <c r="C20" s="82"/>
      <c r="D20" s="77"/>
    </row>
    <row r="21" spans="1:7" ht="16" thickBot="1" x14ac:dyDescent="0.4">
      <c r="B21" s="90">
        <f ca="1">[1]!stdnum_E($C$16)</f>
        <v>2125.141036115409</v>
      </c>
      <c r="C21" s="84"/>
      <c r="D21" s="78"/>
    </row>
    <row r="22" spans="1:7" ht="16" thickTop="1" x14ac:dyDescent="0.35"/>
    <row r="24" spans="1:7" x14ac:dyDescent="0.35">
      <c r="A24" s="88" t="s">
        <v>2064</v>
      </c>
    </row>
    <row r="25" spans="1:7" x14ac:dyDescent="0.35">
      <c r="A25" s="8">
        <f ca="1">RANDBETWEEN(10,30)*2500</f>
        <v>70000</v>
      </c>
      <c r="B25" s="2" t="s">
        <v>12</v>
      </c>
      <c r="F25" s="8">
        <f ca="1">A25*A28*(A26-A27)/12</f>
        <v>291.66666666666652</v>
      </c>
      <c r="G25" s="2" t="s">
        <v>1193</v>
      </c>
    </row>
    <row r="26" spans="1:7" x14ac:dyDescent="0.35">
      <c r="A26" s="9">
        <f ca="1">RANDBETWEEN(75,105)/1000</f>
        <v>8.4000000000000005E-2</v>
      </c>
      <c r="B26" s="2" t="s">
        <v>13</v>
      </c>
    </row>
    <row r="27" spans="1:7" x14ac:dyDescent="0.35">
      <c r="A27" s="9">
        <f ca="1">A26-RANDBETWEEN(1,4)*5/1000</f>
        <v>7.400000000000001E-2</v>
      </c>
      <c r="B27" s="2" t="s">
        <v>1191</v>
      </c>
    </row>
    <row r="28" spans="1:7" x14ac:dyDescent="0.35">
      <c r="A28" s="2">
        <f ca="1">RANDBETWEEN(3,6)</f>
        <v>5</v>
      </c>
      <c r="B28" s="2" t="s">
        <v>1192</v>
      </c>
    </row>
    <row r="29" spans="1:7" ht="16" thickBot="1" x14ac:dyDescent="0.4"/>
    <row r="30" spans="1:7" ht="16.5" thickTop="1" thickBot="1" x14ac:dyDescent="0.4">
      <c r="B30" s="76" t="str">
        <f ca="1">[1]!std_ans($C$30)</f>
        <v>B</v>
      </c>
      <c r="C30" s="79" t="str">
        <f ca="1" xml:space="preserve"> "/\" &amp;RANDBETWEEN( 1,120) &amp; "/\" &amp;RANDBETWEEN( 1,120) &amp; "/\" &amp;0.1 &amp; "/\" &amp; F25</f>
        <v>/\29/\118/\0.1/\291.666666666667</v>
      </c>
      <c r="D30" s="80" t="s">
        <v>1194</v>
      </c>
    </row>
    <row r="31" spans="1:7" ht="16" thickTop="1" x14ac:dyDescent="0.35">
      <c r="B31" s="89">
        <f ca="1">[1]!stdnum_A($C$30)</f>
        <v>265.15151515151547</v>
      </c>
      <c r="C31" s="82"/>
      <c r="D31" s="77"/>
    </row>
    <row r="32" spans="1:7" x14ac:dyDescent="0.35">
      <c r="B32" s="89">
        <f ca="1">[1]!stdnum_B($C$30)</f>
        <v>291.66666666666703</v>
      </c>
      <c r="C32" s="82"/>
      <c r="D32" s="77"/>
    </row>
    <row r="33" spans="1:12" x14ac:dyDescent="0.35">
      <c r="B33" s="89">
        <f ca="1">[1]!stdnum_C($C$30)</f>
        <v>199.21225781481249</v>
      </c>
      <c r="C33" s="82"/>
      <c r="D33" s="77"/>
    </row>
    <row r="34" spans="1:12" x14ac:dyDescent="0.35">
      <c r="B34" s="89">
        <f ca="1">[1]!stdnum_D($C$30)</f>
        <v>219.13348359629373</v>
      </c>
      <c r="C34" s="82"/>
      <c r="D34" s="77"/>
    </row>
    <row r="35" spans="1:12" ht="16" thickBot="1" x14ac:dyDescent="0.4">
      <c r="B35" s="90">
        <f ca="1">[1]!stdnum_E($C$30)</f>
        <v>241.04683195592312</v>
      </c>
      <c r="C35" s="84"/>
      <c r="D35" s="78"/>
    </row>
    <row r="36" spans="1:12" ht="16" thickTop="1" x14ac:dyDescent="0.35"/>
    <row r="38" spans="1:12" x14ac:dyDescent="0.35">
      <c r="A38" s="88" t="s">
        <v>2179</v>
      </c>
    </row>
    <row r="39" spans="1:12" x14ac:dyDescent="0.35">
      <c r="A39" s="8">
        <f ca="1">RANDBETWEEN(5,12)*2500</f>
        <v>12500</v>
      </c>
      <c r="B39" s="2" t="s">
        <v>12</v>
      </c>
      <c r="E39" s="106">
        <f ca="1">PMT(A40/12,C41,-A39)</f>
        <v>403.33983992296857</v>
      </c>
      <c r="F39" s="2" t="s">
        <v>2003</v>
      </c>
    </row>
    <row r="40" spans="1:12" x14ac:dyDescent="0.35">
      <c r="A40" s="9">
        <f ca="1">RANDBETWEEN(75,105)/1000</f>
        <v>0.1</v>
      </c>
      <c r="B40" s="2" t="s">
        <v>13</v>
      </c>
      <c r="E40" s="2">
        <f ca="1">5*RANDBETWEEN(1,5)</f>
        <v>5</v>
      </c>
      <c r="F40" s="2" t="s">
        <v>2004</v>
      </c>
    </row>
    <row r="41" spans="1:12" x14ac:dyDescent="0.35">
      <c r="A41" s="2">
        <f ca="1">RANDBETWEEN(3,5)</f>
        <v>3</v>
      </c>
      <c r="B41" s="2" t="s">
        <v>1195</v>
      </c>
      <c r="C41" s="2">
        <f ca="1">12*A41</f>
        <v>36</v>
      </c>
      <c r="E41" s="10">
        <f ca="1">A39*(A40/12)*(E40/31)+A39</f>
        <v>12516.801075268817</v>
      </c>
      <c r="F41" s="2" t="s">
        <v>2959</v>
      </c>
    </row>
    <row r="42" spans="1:12" x14ac:dyDescent="0.35">
      <c r="E42" s="10">
        <f ca="1">I42*(1+(A40/12)*(E40/31))</f>
        <v>12217.225787532283</v>
      </c>
      <c r="F42" s="2" t="s">
        <v>2960</v>
      </c>
      <c r="I42" s="33">
        <f ca="1">PV(A40/12,C41-1,-E39)</f>
        <v>12200.826826743647</v>
      </c>
    </row>
    <row r="43" spans="1:12" x14ac:dyDescent="0.35">
      <c r="E43" s="2">
        <f ca="1">RANDBETWEEN(2,30)</f>
        <v>2</v>
      </c>
      <c r="F43" s="2" t="s">
        <v>2961</v>
      </c>
    </row>
    <row r="44" spans="1:12" x14ac:dyDescent="0.35">
      <c r="E44" s="10">
        <f ca="1">I44*(1+(A40/12)*(E40/31))</f>
        <v>11915.154039064666</v>
      </c>
      <c r="F44" s="2" t="s">
        <v>2962</v>
      </c>
      <c r="I44" s="10">
        <f ca="1">PV(A40/12,C41-E43,-E39)</f>
        <v>11899.160543710215</v>
      </c>
    </row>
    <row r="45" spans="1:12" ht="16" thickBot="1" x14ac:dyDescent="0.4"/>
    <row r="46" spans="1:12" ht="16.5" thickTop="1" thickBot="1" x14ac:dyDescent="0.4">
      <c r="B46" s="76" t="str">
        <f ca="1">[1]!std_ans($C$46)</f>
        <v>E</v>
      </c>
      <c r="C46" s="79" t="str">
        <f ca="1" xml:space="preserve"> "/\" &amp;RANDBETWEEN( 1,120) &amp; "/\" &amp;RANDBETWEEN( 1,120) &amp; "/\" &amp;0.01 &amp; "/\" &amp; E41</f>
        <v>/\64/\20/\0.01/\12516.8010752688</v>
      </c>
      <c r="D46" s="80" t="s">
        <v>2135</v>
      </c>
      <c r="F46" s="76" t="str">
        <f ca="1">[1]!std_ans($G$46)</f>
        <v>E</v>
      </c>
      <c r="G46" s="79" t="str">
        <f ca="1" xml:space="preserve"> "/\" &amp;RANDBETWEEN( 1,120) &amp; "/\" &amp;RANDBETWEEN( 1,120) &amp; "/\" &amp;0.02 &amp; "/\" &amp; E42</f>
        <v>/\46/\12/\0.02/\12217.2257875322</v>
      </c>
      <c r="H46" s="80" t="s">
        <v>2136</v>
      </c>
      <c r="J46" s="76" t="str">
        <f ca="1">[1]!std_ans($K$46)</f>
        <v>B</v>
      </c>
      <c r="K46" s="79" t="str">
        <f ca="1" xml:space="preserve"> "/\" &amp;RANDBETWEEN( 1,120) &amp; "/\" &amp;RANDBETWEEN( 1,120) &amp; "/\" &amp;0.02 &amp; "/\" &amp; E44</f>
        <v>/\100/\6/\0.02/\11915.1540390647</v>
      </c>
      <c r="L46" s="80" t="s">
        <v>2137</v>
      </c>
    </row>
    <row r="47" spans="1:12" ht="16" thickTop="1" x14ac:dyDescent="0.35">
      <c r="B47" s="101">
        <f ca="1">[1]!stdnum_A($C$46)</f>
        <v>12641.969086021489</v>
      </c>
      <c r="C47" s="82"/>
      <c r="D47" s="77"/>
      <c r="F47" s="101">
        <f ca="1">[1]!stdnum_A($G$46)</f>
        <v>12710.8017093485</v>
      </c>
      <c r="G47" s="82"/>
      <c r="H47" s="77"/>
      <c r="J47" s="101">
        <f ca="1">[1]!stdnum_A($K$46)</f>
        <v>12396.526262242915</v>
      </c>
      <c r="K47" s="82"/>
      <c r="L47" s="77"/>
    </row>
    <row r="48" spans="1:12" x14ac:dyDescent="0.35">
      <c r="B48" s="101">
        <f ca="1">[1]!stdnum_B($C$46)</f>
        <v>12896.072664650523</v>
      </c>
      <c r="C48" s="82"/>
      <c r="D48" s="77"/>
      <c r="F48" s="101">
        <f ca="1">[1]!stdnum_B($G$46)</f>
        <v>12461.570303282844</v>
      </c>
      <c r="G48" s="82"/>
      <c r="H48" s="77"/>
      <c r="J48" s="101">
        <f ca="1">[1]!stdnum_B($K$46)</f>
        <v>11915.154039064701</v>
      </c>
      <c r="K48" s="82"/>
      <c r="L48" s="77"/>
    </row>
    <row r="49" spans="1:12" x14ac:dyDescent="0.35">
      <c r="B49" s="101">
        <f ca="1">[1]!stdnum_C($C$46)</f>
        <v>13025.033391297025</v>
      </c>
      <c r="C49" s="82"/>
      <c r="D49" s="77"/>
      <c r="F49" s="101">
        <f ca="1">[1]!stdnum_C($G$46)</f>
        <v>13224.31809840618</v>
      </c>
      <c r="G49" s="82"/>
      <c r="H49" s="77"/>
      <c r="J49" s="101">
        <f ca="1">[1]!stdnum_C($K$46)</f>
        <v>12897.345923237528</v>
      </c>
      <c r="K49" s="82"/>
      <c r="L49" s="77"/>
    </row>
    <row r="50" spans="1:12" x14ac:dyDescent="0.35">
      <c r="B50" s="101">
        <f ca="1">[1]!stdnum_D($C$46)</f>
        <v>12768.388776881704</v>
      </c>
      <c r="C50" s="82"/>
      <c r="D50" s="77"/>
      <c r="F50" s="101">
        <f ca="1">[1]!stdnum_D($G$46)</f>
        <v>12965.017743535473</v>
      </c>
      <c r="G50" s="82"/>
      <c r="H50" s="77"/>
      <c r="J50" s="101">
        <f ca="1">[1]!stdnum_D($K$46)</f>
        <v>12644.456787487774</v>
      </c>
      <c r="K50" s="82"/>
      <c r="L50" s="77"/>
    </row>
    <row r="51" spans="1:12" ht="16" thickBot="1" x14ac:dyDescent="0.4">
      <c r="B51" s="102">
        <f ca="1">[1]!stdnum_E($C$46)</f>
        <v>12516.801075268801</v>
      </c>
      <c r="C51" s="84"/>
      <c r="D51" s="78"/>
      <c r="F51" s="102">
        <f ca="1">[1]!stdnum_E($G$46)</f>
        <v>12217.225787532199</v>
      </c>
      <c r="G51" s="84"/>
      <c r="H51" s="78"/>
      <c r="J51" s="102">
        <f ca="1">[1]!stdnum_E($K$46)</f>
        <v>12153.457119845994</v>
      </c>
      <c r="K51" s="84"/>
      <c r="L51" s="78"/>
    </row>
    <row r="52" spans="1:12" ht="16" thickTop="1" x14ac:dyDescent="0.35"/>
    <row r="54" spans="1:12" x14ac:dyDescent="0.35">
      <c r="A54" s="88" t="s">
        <v>434</v>
      </c>
    </row>
    <row r="55" spans="1:12" x14ac:dyDescent="0.35">
      <c r="A55" s="8">
        <f ca="1">RANDBETWEEN(30,60)*10</f>
        <v>600</v>
      </c>
      <c r="B55" s="2" t="s">
        <v>709</v>
      </c>
      <c r="F55" s="33">
        <f ca="1">FV(A57/12,A56,-A55)</f>
        <v>1809.6170666666994</v>
      </c>
      <c r="G55" s="2" t="s">
        <v>1443</v>
      </c>
    </row>
    <row r="56" spans="1:12" x14ac:dyDescent="0.35">
      <c r="A56" s="2">
        <f ca="1">RANDBETWEEN(3,5)</f>
        <v>3</v>
      </c>
      <c r="B56" s="2" t="s">
        <v>259</v>
      </c>
      <c r="F56" s="8">
        <f ca="1">F55*(1+A60/12)^A59</f>
        <v>19920.466681177404</v>
      </c>
      <c r="G56" s="2" t="s">
        <v>3266</v>
      </c>
    </row>
    <row r="57" spans="1:12" x14ac:dyDescent="0.35">
      <c r="A57" s="9">
        <f ca="1">RANDBETWEEN(45,65)/1000</f>
        <v>6.4000000000000001E-2</v>
      </c>
      <c r="B57" s="2" t="s">
        <v>1452</v>
      </c>
    </row>
    <row r="58" spans="1:12" x14ac:dyDescent="0.35">
      <c r="A58" s="2">
        <f ca="1">RANDBETWEEN(15,25)</f>
        <v>18</v>
      </c>
      <c r="B58" s="2" t="s">
        <v>260</v>
      </c>
    </row>
    <row r="59" spans="1:12" x14ac:dyDescent="0.35">
      <c r="A59" s="2">
        <f ca="1">12*A58</f>
        <v>216</v>
      </c>
      <c r="B59" s="2" t="s">
        <v>1442</v>
      </c>
    </row>
    <row r="60" spans="1:12" x14ac:dyDescent="0.35">
      <c r="A60" s="9">
        <f ca="1">RANDBETWEEN(105,185)/1000</f>
        <v>0.13400000000000001</v>
      </c>
      <c r="B60" s="2" t="s">
        <v>1117</v>
      </c>
    </row>
    <row r="61" spans="1:12" ht="16" thickBot="1" x14ac:dyDescent="0.4"/>
    <row r="62" spans="1:12" ht="16.5" thickTop="1" thickBot="1" x14ac:dyDescent="0.4">
      <c r="B62" s="76" t="str">
        <f ca="1">[1]!std_ans($C$62)</f>
        <v>D</v>
      </c>
      <c r="C62" s="79" t="str">
        <f ca="1" xml:space="preserve"> "/\" &amp;RANDBETWEEN( 1,120) &amp; "/\" &amp;RANDBETWEEN( 1,120) &amp; "/\" &amp;0.1 &amp; "/\" &amp; F56</f>
        <v>/\93/\35/\0.1/\19920.4666811774</v>
      </c>
      <c r="D62" s="80" t="s">
        <v>3076</v>
      </c>
    </row>
    <row r="63" spans="1:12" ht="16" thickTop="1" x14ac:dyDescent="0.35">
      <c r="B63" s="110">
        <f ca="1">[1]!stdnum_A($C$62)</f>
        <v>18109.515164706729</v>
      </c>
      <c r="C63" s="82"/>
      <c r="D63" s="77"/>
    </row>
    <row r="64" spans="1:12" x14ac:dyDescent="0.35">
      <c r="B64" s="110">
        <f ca="1">[1]!stdnum_B($C$62)</f>
        <v>24103.764684224658</v>
      </c>
      <c r="C64" s="82"/>
      <c r="D64" s="77"/>
    </row>
    <row r="65" spans="1:12" x14ac:dyDescent="0.35">
      <c r="B65" s="110">
        <f ca="1">[1]!stdnum_C($C$62)</f>
        <v>21912.513349295143</v>
      </c>
      <c r="C65" s="82"/>
      <c r="D65" s="77"/>
    </row>
    <row r="66" spans="1:12" x14ac:dyDescent="0.35">
      <c r="B66" s="110">
        <f ca="1">[1]!stdnum_D($C$62)</f>
        <v>19920.4666811774</v>
      </c>
      <c r="C66" s="82"/>
      <c r="D66" s="77"/>
    </row>
    <row r="67" spans="1:12" ht="16" thickBot="1" x14ac:dyDescent="0.4">
      <c r="B67" s="111">
        <f ca="1">[1]!stdnum_E($C$62)</f>
        <v>26514.141152647127</v>
      </c>
      <c r="C67" s="84"/>
      <c r="D67" s="78"/>
    </row>
    <row r="68" spans="1:12" ht="16" thickTop="1" x14ac:dyDescent="0.35"/>
    <row r="70" spans="1:12" x14ac:dyDescent="0.35">
      <c r="A70" s="88" t="s">
        <v>227</v>
      </c>
    </row>
    <row r="71" spans="1:12" x14ac:dyDescent="0.35">
      <c r="A71" s="8">
        <f ca="1">RANDBETWEEN(30,80)*100</f>
        <v>3500</v>
      </c>
      <c r="B71" s="2" t="s">
        <v>864</v>
      </c>
      <c r="E71" s="2">
        <f ca="1">A76*A73-A72+1</f>
        <v>9</v>
      </c>
      <c r="F71" s="2" t="s">
        <v>646</v>
      </c>
    </row>
    <row r="72" spans="1:12" x14ac:dyDescent="0.35">
      <c r="A72" s="2">
        <f ca="1">RANDBETWEEN(4,10)</f>
        <v>8</v>
      </c>
      <c r="B72" s="2" t="s">
        <v>224</v>
      </c>
      <c r="E72" s="106">
        <f ca="1">PMT(A77/A73,E71,0,-A71)</f>
        <v>324.01064504733949</v>
      </c>
      <c r="F72" s="2" t="s">
        <v>732</v>
      </c>
    </row>
    <row r="73" spans="1:12" x14ac:dyDescent="0.35">
      <c r="A73" s="2">
        <f ca="1">CHOOSE(RANDBETWEEN(1,3),2,4,12)</f>
        <v>2</v>
      </c>
      <c r="B73" s="2" t="s">
        <v>731</v>
      </c>
      <c r="E73" s="8">
        <f ca="1">E72*E71</f>
        <v>2916.0958054260554</v>
      </c>
      <c r="F73" s="2" t="s">
        <v>1444</v>
      </c>
    </row>
    <row r="74" spans="1:12" x14ac:dyDescent="0.35">
      <c r="A74" s="6" t="str">
        <f ca="1">IF(A73=1,"years",IF(A73=2,"semiannums",IF(A73=4,"quarters","months")))</f>
        <v>semiannums</v>
      </c>
      <c r="B74" s="2" t="s">
        <v>2486</v>
      </c>
      <c r="E74" s="10">
        <f ca="1">A71-E73</f>
        <v>583.90419457394455</v>
      </c>
      <c r="F74" s="2" t="s">
        <v>1445</v>
      </c>
    </row>
    <row r="75" spans="1:12" x14ac:dyDescent="0.35">
      <c r="A75" s="6" t="str">
        <f ca="1">IF(A73=1,"annually",IF(A73=2,"semiannually",IF(A73=4,"quarterly","monthly")))</f>
        <v>semiannually</v>
      </c>
      <c r="B75" s="2" t="s">
        <v>863</v>
      </c>
    </row>
    <row r="76" spans="1:12" x14ac:dyDescent="0.35">
      <c r="A76" s="2">
        <f ca="1">INT(A72/A73+RANDBETWEEN(4,10))</f>
        <v>8</v>
      </c>
      <c r="B76" s="2" t="s">
        <v>494</v>
      </c>
    </row>
    <row r="77" spans="1:12" x14ac:dyDescent="0.35">
      <c r="A77" s="9">
        <f ca="1">RANDBETWEEN(55,105)/1000</f>
        <v>0.09</v>
      </c>
      <c r="B77" s="2" t="s">
        <v>2567</v>
      </c>
    </row>
    <row r="79" spans="1:12" ht="16" thickBot="1" x14ac:dyDescent="0.4">
      <c r="B79" s="88" t="s">
        <v>3077</v>
      </c>
      <c r="F79" s="88" t="s">
        <v>635</v>
      </c>
      <c r="J79" s="88" t="s">
        <v>637</v>
      </c>
    </row>
    <row r="80" spans="1:12" ht="16.5" thickTop="1" thickBot="1" x14ac:dyDescent="0.4">
      <c r="B80" s="76" t="str">
        <f ca="1">[1]!std_ans($C$80)</f>
        <v>B</v>
      </c>
      <c r="C80" s="79" t="str">
        <f ca="1" xml:space="preserve"> "/\" &amp;RANDBETWEEN( 1,120) &amp; "/\" &amp;RANDBETWEEN( 1,120) &amp; "/\" &amp;0.1 &amp; "/\" &amp; E74</f>
        <v>/\28/\102/\0.1/\583.904194573945</v>
      </c>
      <c r="D80" s="80" t="s">
        <v>3078</v>
      </c>
      <c r="F80" s="76" t="str">
        <f ca="1">[1]!std_ans($G$80)</f>
        <v>A</v>
      </c>
      <c r="G80" s="79" t="str">
        <f ca="1" xml:space="preserve"> "/\" &amp;RANDBETWEEN( 1,120) &amp; "/\" &amp;RANDBETWEEN( 1,120) &amp; "/\" &amp;0.1 &amp; "/\" &amp; GeneralPV!E72</f>
        <v>/\2/\86/\0.1/\324.010645047339</v>
      </c>
      <c r="H80" s="80" t="s">
        <v>636</v>
      </c>
      <c r="J80" s="76" t="str">
        <f ca="1">[1]!std_ans($K$80)</f>
        <v>D</v>
      </c>
      <c r="K80" s="79" t="str">
        <f ca="1" xml:space="preserve"> "/\" &amp;RANDBETWEEN( 1,120) &amp; "/\" &amp;RANDBETWEEN( 1,120) &amp; "/\" &amp;0.1 &amp; "/\" &amp; GeneralPV!E73</f>
        <v>/\105/\54/\0.1/\2916.09580542606</v>
      </c>
      <c r="L80" s="80" t="s">
        <v>228</v>
      </c>
    </row>
    <row r="81" spans="1:12" ht="16" thickTop="1" x14ac:dyDescent="0.35">
      <c r="B81" s="131">
        <f ca="1">[1]!stdnum_A($C$80)</f>
        <v>398.81442153810866</v>
      </c>
      <c r="C81" s="82"/>
      <c r="D81" s="77"/>
      <c r="F81" s="302">
        <f ca="1">[1]!stdnum_A($G$80)</f>
        <v>324.01064504733898</v>
      </c>
      <c r="G81" s="82"/>
      <c r="H81" s="77"/>
      <c r="J81" s="131">
        <f ca="1">[1]!stdnum_A($K$80)</f>
        <v>2650.9961867509637</v>
      </c>
      <c r="K81" s="82"/>
      <c r="L81" s="77"/>
    </row>
    <row r="82" spans="1:12" x14ac:dyDescent="0.35">
      <c r="B82" s="131">
        <f ca="1">[1]!stdnum_B($C$80)</f>
        <v>583.90419457394501</v>
      </c>
      <c r="C82" s="82"/>
      <c r="D82" s="77"/>
      <c r="F82" s="302">
        <f ca="1">[1]!stdnum_B($G$80)</f>
        <v>294.55513186121726</v>
      </c>
      <c r="G82" s="82"/>
      <c r="H82" s="77"/>
      <c r="J82" s="131">
        <f ca="1">[1]!stdnum_B($K$80)</f>
        <v>2409.9965334099666</v>
      </c>
      <c r="K82" s="82"/>
      <c r="L82" s="77"/>
    </row>
    <row r="83" spans="1:12" x14ac:dyDescent="0.35">
      <c r="B83" s="131">
        <f ca="1">[1]!stdnum_C($C$80)</f>
        <v>482.56545006111151</v>
      </c>
      <c r="C83" s="82"/>
      <c r="D83" s="77"/>
      <c r="F83" s="302">
        <f ca="1">[1]!stdnum_C($G$80)</f>
        <v>243.43399327373319</v>
      </c>
      <c r="G83" s="82"/>
      <c r="H83" s="77"/>
      <c r="J83" s="131">
        <f ca="1">[1]!stdnum_C($K$80)</f>
        <v>3528.4759245655332</v>
      </c>
      <c r="K83" s="82"/>
      <c r="L83" s="77"/>
    </row>
    <row r="84" spans="1:12" x14ac:dyDescent="0.35">
      <c r="B84" s="131">
        <f ca="1">[1]!stdnum_D($C$80)</f>
        <v>438.6958636919195</v>
      </c>
      <c r="C84" s="82"/>
      <c r="D84" s="77"/>
      <c r="F84" s="302">
        <f ca="1">[1]!stdnum_D($G$80)</f>
        <v>267.77739260110656</v>
      </c>
      <c r="G84" s="82"/>
      <c r="H84" s="77"/>
      <c r="J84" s="131">
        <f ca="1">[1]!stdnum_D($K$80)</f>
        <v>2916.09580542606</v>
      </c>
      <c r="K84" s="82"/>
      <c r="L84" s="77"/>
    </row>
    <row r="85" spans="1:12" ht="16" thickBot="1" x14ac:dyDescent="0.4">
      <c r="B85" s="132">
        <f ca="1">[1]!stdnum_E($C$80)</f>
        <v>530.8219950672227</v>
      </c>
      <c r="C85" s="84"/>
      <c r="D85" s="78"/>
      <c r="F85" s="303">
        <f ca="1">[1]!stdnum_E($G$80)</f>
        <v>356.41170955207292</v>
      </c>
      <c r="G85" s="84"/>
      <c r="H85" s="78"/>
      <c r="J85" s="132">
        <f ca="1">[1]!stdnum_E($K$80)</f>
        <v>3207.7053859686662</v>
      </c>
      <c r="K85" s="84"/>
      <c r="L85" s="78"/>
    </row>
    <row r="86" spans="1:12" ht="16" thickTop="1" x14ac:dyDescent="0.35"/>
    <row r="88" spans="1:12" x14ac:dyDescent="0.35">
      <c r="A88" s="88" t="s">
        <v>1029</v>
      </c>
    </row>
    <row r="89" spans="1:12" x14ac:dyDescent="0.35">
      <c r="A89" s="8">
        <f ca="1">RANDBETWEEN(10,20)*10</f>
        <v>150</v>
      </c>
      <c r="B89" s="2" t="s">
        <v>3808</v>
      </c>
      <c r="G89" s="33">
        <f ca="1">FV(A95/12,A91,-A89)</f>
        <v>10667.832099361505</v>
      </c>
      <c r="H89" s="2" t="s">
        <v>2891</v>
      </c>
    </row>
    <row r="90" spans="1:12" x14ac:dyDescent="0.35">
      <c r="A90" s="2">
        <f ca="1">RANDBETWEEN(2,5)</f>
        <v>5</v>
      </c>
      <c r="B90" s="2" t="s">
        <v>3809</v>
      </c>
      <c r="G90" s="33">
        <f ca="1">FV(A95/12,A94,-A92,-G89)</f>
        <v>19908.257366447007</v>
      </c>
      <c r="H90" s="2" t="s">
        <v>1838</v>
      </c>
    </row>
    <row r="91" spans="1:12" x14ac:dyDescent="0.35">
      <c r="A91" s="2">
        <f ca="1">1+A90*12</f>
        <v>61</v>
      </c>
      <c r="B91" s="2" t="s">
        <v>123</v>
      </c>
      <c r="G91" s="10">
        <f ca="1">A91*A89+A94*A92</f>
        <v>16590</v>
      </c>
      <c r="H91" s="2" t="s">
        <v>1444</v>
      </c>
    </row>
    <row r="92" spans="1:12" x14ac:dyDescent="0.35">
      <c r="A92" s="8">
        <f ca="1">RANDBETWEEN(21,35)*10</f>
        <v>310</v>
      </c>
      <c r="B92" s="2" t="s">
        <v>2581</v>
      </c>
      <c r="G92" s="33">
        <f ca="1">G90-G91</f>
        <v>3318.2573664470074</v>
      </c>
      <c r="H92" s="2" t="s">
        <v>1445</v>
      </c>
    </row>
    <row r="93" spans="1:12" x14ac:dyDescent="0.35">
      <c r="A93" s="2">
        <f ca="1">RANDBETWEEN(7,9)</f>
        <v>7</v>
      </c>
      <c r="B93" s="2" t="s">
        <v>728</v>
      </c>
    </row>
    <row r="94" spans="1:12" x14ac:dyDescent="0.35">
      <c r="A94" s="2">
        <f ca="1">(A93-A90)*12</f>
        <v>24</v>
      </c>
      <c r="B94" s="2" t="s">
        <v>595</v>
      </c>
    </row>
    <row r="95" spans="1:12" x14ac:dyDescent="0.35">
      <c r="A95" s="9">
        <f ca="1">RANDBETWEEN(45,65)/1000</f>
        <v>0.06</v>
      </c>
      <c r="B95" s="2" t="s">
        <v>2995</v>
      </c>
    </row>
    <row r="97" spans="1:11" ht="16" thickBot="1" x14ac:dyDescent="0.4">
      <c r="B97" s="120" t="s">
        <v>1028</v>
      </c>
      <c r="F97" s="88" t="s">
        <v>226</v>
      </c>
    </row>
    <row r="98" spans="1:11" ht="16.5" thickTop="1" thickBot="1" x14ac:dyDescent="0.4">
      <c r="B98" s="76" t="str">
        <f ca="1">[1]!std_ans($C$98)</f>
        <v>D</v>
      </c>
      <c r="C98" s="79" t="str">
        <f ca="1" xml:space="preserve"> "/\" &amp;RANDBETWEEN( 1,120) &amp; "/\" &amp;RANDBETWEEN( 1,120) &amp; "/\" &amp;0.1 &amp; "/\" &amp; G90</f>
        <v>/\117/\120/\0.1/\19908.257366447</v>
      </c>
      <c r="D98" s="80" t="s">
        <v>623</v>
      </c>
      <c r="F98" s="76" t="str">
        <f ca="1">[1]!std_ans($G$98)</f>
        <v>A</v>
      </c>
      <c r="G98" s="79" t="str">
        <f ca="1" xml:space="preserve"> "/\" &amp;RANDBETWEEN( 1,120) &amp; "/\" &amp;RANDBETWEEN( 1,120) &amp; "/\" &amp;0.1 &amp; "/\" &amp; G92</f>
        <v>/\10/\118/\0.1/\3318.25736644701</v>
      </c>
      <c r="H98" s="80" t="s">
        <v>624</v>
      </c>
    </row>
    <row r="99" spans="1:11" ht="16" thickTop="1" x14ac:dyDescent="0.35">
      <c r="B99" s="110">
        <f ca="1">[1]!stdnum_A($C$98)</f>
        <v>13597.607654154084</v>
      </c>
      <c r="C99" s="82"/>
      <c r="D99" s="77"/>
      <c r="F99" s="110">
        <f ca="1">[1]!stdnum_A($G$98)</f>
        <v>3318.2573664470101</v>
      </c>
      <c r="G99" s="82"/>
      <c r="H99" s="77"/>
    </row>
    <row r="100" spans="1:11" x14ac:dyDescent="0.35">
      <c r="B100" s="110">
        <f ca="1">[1]!stdnum_B($C$98)</f>
        <v>14957.368419569491</v>
      </c>
      <c r="C100" s="82"/>
      <c r="D100" s="77"/>
      <c r="F100" s="110">
        <f ca="1">[1]!stdnum_B($G$98)</f>
        <v>2493.0558726123286</v>
      </c>
      <c r="G100" s="82"/>
      <c r="H100" s="77"/>
    </row>
    <row r="101" spans="1:11" x14ac:dyDescent="0.35">
      <c r="B101" s="110">
        <f ca="1">[1]!stdnum_C($C$98)</f>
        <v>18098.415787679089</v>
      </c>
      <c r="C101" s="82"/>
      <c r="D101" s="77"/>
      <c r="F101" s="110">
        <f ca="1">[1]!stdnum_C($G$98)</f>
        <v>2742.3614598735617</v>
      </c>
      <c r="G101" s="82"/>
      <c r="H101" s="77"/>
    </row>
    <row r="102" spans="1:11" x14ac:dyDescent="0.35">
      <c r="B102" s="110">
        <f ca="1">[1]!stdnum_D($C$98)</f>
        <v>19908.257366447</v>
      </c>
      <c r="C102" s="82"/>
      <c r="D102" s="77"/>
      <c r="F102" s="110">
        <f ca="1">[1]!stdnum_D($G$98)</f>
        <v>2266.4144296475715</v>
      </c>
      <c r="G102" s="82"/>
      <c r="H102" s="77"/>
    </row>
    <row r="103" spans="1:11" ht="16" thickBot="1" x14ac:dyDescent="0.4">
      <c r="B103" s="111">
        <f ca="1">[1]!stdnum_E($C$98)</f>
        <v>16453.105261526445</v>
      </c>
      <c r="C103" s="84"/>
      <c r="D103" s="78"/>
      <c r="F103" s="111">
        <f ca="1">[1]!stdnum_E($G$98)</f>
        <v>3016.5976058609181</v>
      </c>
      <c r="G103" s="84"/>
      <c r="H103" s="78"/>
    </row>
    <row r="104" spans="1:11" ht="16" thickTop="1" x14ac:dyDescent="0.35"/>
    <row r="106" spans="1:11" x14ac:dyDescent="0.35">
      <c r="A106" s="88" t="s">
        <v>435</v>
      </c>
    </row>
    <row r="107" spans="1:11" x14ac:dyDescent="0.35">
      <c r="B107" s="22" t="s">
        <v>249</v>
      </c>
      <c r="E107" s="22" t="s">
        <v>2189</v>
      </c>
    </row>
    <row r="108" spans="1:11" x14ac:dyDescent="0.35">
      <c r="A108" s="2">
        <f ca="1">RANDBETWEEN(25,35)</f>
        <v>32</v>
      </c>
      <c r="B108" s="2" t="s">
        <v>1390</v>
      </c>
      <c r="D108" s="8">
        <f ca="1">A111*(1+A112/12)^(A110*12)*((1+A112/12)^(A109*12+1)-1)/(A112/12)</f>
        <v>326475.72323747748</v>
      </c>
      <c r="E108" s="2" t="s">
        <v>1001</v>
      </c>
      <c r="G108" s="8"/>
      <c r="H108" s="166" t="s">
        <v>1839</v>
      </c>
      <c r="J108" s="11" t="s">
        <v>2516</v>
      </c>
    </row>
    <row r="109" spans="1:11" x14ac:dyDescent="0.35">
      <c r="A109" s="2">
        <f ca="1">TRUNC(A108/2-RANDBETWEEN(3,9))</f>
        <v>7</v>
      </c>
      <c r="B109" s="2" t="s">
        <v>1391</v>
      </c>
      <c r="D109" s="8">
        <f ca="1">A111*((1+A112/12)^(A110*12+1)-1)/(A112/12)</f>
        <v>305311.40825530875</v>
      </c>
      <c r="E109" s="2" t="s">
        <v>1002</v>
      </c>
      <c r="H109" s="8" t="str">
        <f ca="1">"Strategy 1 accumulates $" &amp; ROUND(D108,0)</f>
        <v>Strategy 1 accumulates $326476</v>
      </c>
      <c r="J109" s="10" t="str">
        <f ca="1">"Strategy 1 accumulates $" &amp;ROUND(D111,0)</f>
        <v>Strategy 1 accumulates $299519</v>
      </c>
    </row>
    <row r="110" spans="1:11" x14ac:dyDescent="0.35">
      <c r="A110" s="2">
        <f ca="1">A108-A109</f>
        <v>25</v>
      </c>
      <c r="B110" s="2" t="s">
        <v>1392</v>
      </c>
      <c r="D110" s="8">
        <f ca="1">ABS(D108-D109)</f>
        <v>21164.314982168726</v>
      </c>
      <c r="E110" s="2" t="s">
        <v>248</v>
      </c>
      <c r="H110" s="8" t="str">
        <f ca="1">"Strategy 2 accumulates $" &amp;ROUND(D109,0)</f>
        <v>Strategy 2 accumulates $305311</v>
      </c>
      <c r="J110" s="10" t="str">
        <f ca="1">"Strategy 2 accumulates $" &amp;ROUND(D112,0)</f>
        <v>Strategy 2 accumulates $285338</v>
      </c>
      <c r="K110" s="4"/>
    </row>
    <row r="111" spans="1:11" x14ac:dyDescent="0.35">
      <c r="A111" s="8">
        <f ca="1">RANDBETWEEN(15,30)*10</f>
        <v>240</v>
      </c>
      <c r="B111" s="2" t="s">
        <v>999</v>
      </c>
      <c r="D111" s="8">
        <f ca="1">D108*(1+RANDBETWEEN(8,13)/100)^(IF(RANDBETWEEN(0,1)=0,1,-1))</f>
        <v>299519.01214447472</v>
      </c>
      <c r="E111" s="2" t="s">
        <v>1683</v>
      </c>
      <c r="H111" s="8" t="str">
        <f ca="1">"Strategy 1 accumulates $" &amp;ROUND(D110,0) &amp; IF(D108&gt;D109," more than Strategy 2"," less than Strategy 2")</f>
        <v>Strategy 1 accumulates $21164 more than Strategy 2</v>
      </c>
      <c r="I111" s="4"/>
      <c r="J111" s="8" t="str">
        <f ca="1">"Strategy 1 accumulates $" &amp;ROUND(D113,0) &amp; IF(D108&gt;D109," less than Strategy 2"," more than Strategy 2")</f>
        <v>Strategy 1 accumulates $14181 less than Strategy 2</v>
      </c>
      <c r="K111" s="4"/>
    </row>
    <row r="112" spans="1:11" x14ac:dyDescent="0.35">
      <c r="A112" s="29">
        <f ca="1">RANDBETWEEN(40,100)/1000</f>
        <v>9.7000000000000003E-2</v>
      </c>
      <c r="B112" s="2" t="s">
        <v>1000</v>
      </c>
      <c r="D112" s="8">
        <f ca="1">D109*(1+RANDBETWEEN(3,7)/100)^(IF(RANDBETWEEN(0,1)=0,1,-1))</f>
        <v>285337.76472458761</v>
      </c>
      <c r="H112" s="8" t="str">
        <f ca="1">"Strategy 2 accumulates $" &amp;ROUND(D110,0) &amp; IF(D108&lt;D109," more than Strategy 1"," less than Strategy 1")</f>
        <v>Strategy 2 accumulates $21164 less than Strategy 1</v>
      </c>
      <c r="I112" s="4"/>
      <c r="J112" s="8" t="str">
        <f ca="1">"Strategy 2 accumulates $" &amp;ROUND(D110,0) &amp; IF(D108&gt;D109," more than Strategy 1"," less than Strategy 1")</f>
        <v>Strategy 2 accumulates $21164 more than Strategy 1</v>
      </c>
      <c r="K112" s="20"/>
    </row>
    <row r="113" spans="1:12" x14ac:dyDescent="0.35">
      <c r="D113" s="8">
        <f ca="1">ABS(D111-D112)</f>
        <v>14181.247419887106</v>
      </c>
      <c r="E113" s="2" t="s">
        <v>248</v>
      </c>
      <c r="H113" s="2" t="str">
        <f ca="1">IF(H114=0,"Strategy 1 accumulates ","Strategy 2 accumulates ") &amp; "$" &amp;ROUND(IF(flag1=0,D108,D109),0)</f>
        <v>Strategy 2 accumulates $305311</v>
      </c>
      <c r="I113" s="20"/>
      <c r="J113" s="2" t="str">
        <f ca="1">IF(H114=0,"Strategy 1 accumulates ","Strategy 2 accumulates ") &amp; "$" &amp;ROUND(IF(H114=0,D109,D108),0)</f>
        <v>Strategy 2 accumulates $326476</v>
      </c>
      <c r="K113" s="8"/>
    </row>
    <row r="114" spans="1:12" x14ac:dyDescent="0.35">
      <c r="H114" s="2">
        <f ca="1">(RANDBETWEEN(0,1))</f>
        <v>1</v>
      </c>
    </row>
    <row r="115" spans="1:12" ht="16" thickBot="1" x14ac:dyDescent="0.4">
      <c r="B115" s="88" t="s">
        <v>1959</v>
      </c>
      <c r="F115" s="88" t="s">
        <v>989</v>
      </c>
      <c r="J115" s="120" t="s">
        <v>3070</v>
      </c>
    </row>
    <row r="116" spans="1:12" ht="16.5" thickTop="1" thickBot="1" x14ac:dyDescent="0.4">
      <c r="A116" s="17"/>
      <c r="B116" s="76" t="str">
        <f ca="1">[1]!alpha_ans($C$116)</f>
        <v>D</v>
      </c>
      <c r="C116" s="79" t="str">
        <f ca="1" xml:space="preserve"> "/\" &amp;RANDBETWEEN( 1,5) &amp; "/\" &amp;RANDBETWEEN( 1,120) &amp; "/\"  &amp;H109 &amp; "/\" &amp; J109 &amp; "/\" &amp; H110 &amp; "/\" &amp; J110 &amp; "/\" &amp; H111 &amp;  "/\" &amp; J111 &amp; "/\" &amp; H112 &amp; "/\" &amp; J112 &amp; "/\" &amp; H113 &amp; "/\" &amp; J113</f>
        <v>/\4/\14/\Strategy 1 accumulates $326476/\Strategy 1 accumulates $299519/\Strategy 2 accumulates $305311/\Strategy 2 accumulates $285338/\Strategy 1 accumulates $21164 more than Strategy 2/\Strategy 1 accumulates $14181 less than Strategy 2/\Strategy 2 accumulates $21164 less than Strategy 1/\Strategy 2 accumulates $21164 more than Strategy 1/\Strategy 2 accumulates $305311/\Strategy 2 accumulates $326476</v>
      </c>
      <c r="D116" s="167" t="s">
        <v>1840</v>
      </c>
      <c r="F116" s="76" t="str">
        <f ca="1">[1]!std_ans($G$116)</f>
        <v>C</v>
      </c>
      <c r="G116" s="79" t="str">
        <f ca="1" xml:space="preserve"> "/\" &amp;RANDBETWEEN( 1,120) &amp; "/\" &amp;RANDBETWEEN( 1,120) &amp; "/\" &amp;0.1 &amp; "/\" &amp; D108</f>
        <v>/\55/\108/\0.1/\326475.723237477</v>
      </c>
      <c r="H116" s="80" t="s">
        <v>3069</v>
      </c>
      <c r="J116" s="76" t="str">
        <f ca="1">[1]!std_ans($K$116)</f>
        <v>D</v>
      </c>
      <c r="K116" s="79" t="str">
        <f ca="1" xml:space="preserve"> "/\" &amp;RANDBETWEEN( 1,120) &amp; "/\" &amp;RANDBETWEEN( 1,120) &amp; "/\" &amp;0.1 &amp; "/\" &amp; D109</f>
        <v>/\41/\22/\0.1/\305311.408255309</v>
      </c>
      <c r="L116" s="80" t="s">
        <v>3071</v>
      </c>
    </row>
    <row r="117" spans="1:12" ht="16" thickTop="1" x14ac:dyDescent="0.35">
      <c r="B117" s="81" t="str">
        <f ca="1">[1]!standardV_A($C$116)</f>
        <v>Strategy 1 accumulates $299519</v>
      </c>
      <c r="C117" s="168"/>
      <c r="D117" s="77"/>
      <c r="F117" s="110">
        <f ca="1">[1]!stdnum_A($G$116)</f>
        <v>296796.11203407001</v>
      </c>
      <c r="G117" s="82"/>
      <c r="H117" s="77"/>
      <c r="J117" s="110">
        <f ca="1">[1]!stdnum_A($K$116)</f>
        <v>447006.432826598</v>
      </c>
      <c r="K117" s="82"/>
      <c r="L117" s="77"/>
    </row>
    <row r="118" spans="1:12" x14ac:dyDescent="0.35">
      <c r="B118" s="81" t="str">
        <f ca="1">[1]!standardV_B($C$116)</f>
        <v>Strategy 2 accumulates $21164 more than Strategy 1</v>
      </c>
      <c r="C118" s="82"/>
      <c r="D118" s="77"/>
      <c r="F118" s="110">
        <f ca="1">[1]!stdnum_B($G$116)</f>
        <v>245286.04300336356</v>
      </c>
      <c r="G118" s="168"/>
      <c r="H118" s="77"/>
      <c r="J118" s="110">
        <f ca="1">[1]!stdnum_B($K$116)</f>
        <v>406369.4843878164</v>
      </c>
      <c r="K118" s="82"/>
      <c r="L118" s="77"/>
    </row>
    <row r="119" spans="1:12" x14ac:dyDescent="0.35">
      <c r="B119" s="81" t="str">
        <f ca="1">[1]!standardV_C($C$116)</f>
        <v>Strategy 2 accumulates $285338</v>
      </c>
      <c r="C119" s="82"/>
      <c r="D119" s="77"/>
      <c r="F119" s="110">
        <f ca="1">[1]!stdnum_C($G$116)</f>
        <v>326475.72323747701</v>
      </c>
      <c r="G119" s="168"/>
      <c r="H119" s="77"/>
      <c r="J119" s="110">
        <f ca="1">[1]!stdnum_C($K$116)</f>
        <v>335842.5490808399</v>
      </c>
      <c r="K119" s="82"/>
      <c r="L119" s="77"/>
    </row>
    <row r="120" spans="1:12" x14ac:dyDescent="0.35">
      <c r="B120" s="81" t="str">
        <f ca="1">[1]!standardV_D($C$116)</f>
        <v>Strategy 2 accumulates $305311</v>
      </c>
      <c r="C120" s="82"/>
      <c r="D120" s="77"/>
      <c r="F120" s="110">
        <f ca="1">[1]!stdnum_D($G$116)</f>
        <v>269814.64730369998</v>
      </c>
      <c r="G120" s="168"/>
      <c r="H120" s="169"/>
      <c r="J120" s="110">
        <f ca="1">[1]!stdnum_D($K$116)</f>
        <v>305311.40825530898</v>
      </c>
      <c r="K120" s="82"/>
      <c r="L120" s="77"/>
    </row>
    <row r="121" spans="1:12" ht="16" thickBot="1" x14ac:dyDescent="0.4">
      <c r="B121" s="83" t="str">
        <f ca="1">[1]!standardV_E($C$116)</f>
        <v>Strategy 1 accumulates $14181 less than Strategy 2</v>
      </c>
      <c r="C121" s="84"/>
      <c r="D121" s="78"/>
      <c r="F121" s="111">
        <f ca="1">[1]!stdnum_E($G$116)</f>
        <v>222987.31182123962</v>
      </c>
      <c r="G121" s="170"/>
      <c r="H121" s="171"/>
      <c r="J121" s="111">
        <f ca="1">[1]!stdnum_E($K$116)</f>
        <v>369426.8039889239</v>
      </c>
      <c r="K121" s="84"/>
      <c r="L121" s="78"/>
    </row>
    <row r="122" spans="1:12" ht="16" thickTop="1" x14ac:dyDescent="0.35">
      <c r="B122" s="17"/>
      <c r="H122" s="20"/>
    </row>
    <row r="124" spans="1:12" x14ac:dyDescent="0.35">
      <c r="A124" s="88" t="s">
        <v>721</v>
      </c>
    </row>
    <row r="125" spans="1:12" x14ac:dyDescent="0.35">
      <c r="A125" s="10">
        <f ca="1">RANDBETWEEN(8,16)*100</f>
        <v>1200</v>
      </c>
      <c r="B125" s="2" t="s">
        <v>2153</v>
      </c>
    </row>
    <row r="126" spans="1:12" x14ac:dyDescent="0.35">
      <c r="A126" s="10">
        <f ca="1">RANDBETWEEN(8,16)*100</f>
        <v>800</v>
      </c>
      <c r="B126" s="2" t="s">
        <v>2572</v>
      </c>
    </row>
    <row r="127" spans="1:12" x14ac:dyDescent="0.35">
      <c r="A127" s="2">
        <f ca="1">RANDBETWEEN(3,8)</f>
        <v>8</v>
      </c>
      <c r="B127" s="2" t="s">
        <v>2573</v>
      </c>
    </row>
    <row r="128" spans="1:12" x14ac:dyDescent="0.35">
      <c r="A128" s="7">
        <f ca="1">RANDBETWEEN(45,95)/1000</f>
        <v>6.2E-2</v>
      </c>
      <c r="B128" s="2" t="s">
        <v>1111</v>
      </c>
    </row>
    <row r="129" spans="1:6" x14ac:dyDescent="0.35">
      <c r="A129" s="8">
        <f ca="1">A125*(1+A128/12)^12+A126*(1+A128/12)^(12-A127)</f>
        <v>2093.2129466078759</v>
      </c>
      <c r="B129" s="2" t="s">
        <v>2574</v>
      </c>
    </row>
    <row r="130" spans="1:6" ht="16" thickBot="1" x14ac:dyDescent="0.4"/>
    <row r="131" spans="1:6" ht="16.5" thickTop="1" thickBot="1" x14ac:dyDescent="0.4">
      <c r="B131" s="76" t="str">
        <f ca="1">[1]!std_ans($C$131)</f>
        <v>A</v>
      </c>
      <c r="C131" s="79" t="str">
        <f ca="1" xml:space="preserve"> "/\" &amp;RANDBETWEEN( 1,120) &amp; "/\" &amp;RANDBETWEEN( 1,120) &amp; "/\" &amp;0.1 &amp; "/\" &amp; A129</f>
        <v>/\5/\109/\0.1/\2093.21294660788</v>
      </c>
      <c r="D131" s="80" t="s">
        <v>3721</v>
      </c>
    </row>
    <row r="132" spans="1:6" ht="16" thickTop="1" x14ac:dyDescent="0.35">
      <c r="B132" s="110">
        <f ca="1">[1]!stdnum_A($C$131)</f>
        <v>2093.21294660788</v>
      </c>
      <c r="C132" s="82"/>
      <c r="D132" s="77"/>
    </row>
    <row r="133" spans="1:6" x14ac:dyDescent="0.35">
      <c r="B133" s="110">
        <f ca="1">[1]!stdnum_B($C$131)</f>
        <v>1729.9280550478345</v>
      </c>
      <c r="C133" s="82"/>
      <c r="D133" s="77"/>
    </row>
    <row r="134" spans="1:6" x14ac:dyDescent="0.35">
      <c r="B134" s="110">
        <f ca="1">[1]!stdnum_C($C$131)</f>
        <v>1902.920860552618</v>
      </c>
      <c r="C134" s="82"/>
      <c r="D134" s="77"/>
    </row>
    <row r="135" spans="1:6" x14ac:dyDescent="0.35">
      <c r="B135" s="110">
        <f ca="1">[1]!stdnum_D($C$131)</f>
        <v>1429.692607477549</v>
      </c>
      <c r="C135" s="82"/>
      <c r="D135" s="77"/>
    </row>
    <row r="136" spans="1:6" ht="16" thickBot="1" x14ac:dyDescent="0.4">
      <c r="B136" s="111">
        <f ca="1">[1]!stdnum_E($C$131)</f>
        <v>1572.6618682253038</v>
      </c>
      <c r="C136" s="84"/>
      <c r="D136" s="78"/>
    </row>
    <row r="137" spans="1:6" ht="16" thickTop="1" x14ac:dyDescent="0.35"/>
    <row r="139" spans="1:6" x14ac:dyDescent="0.35">
      <c r="A139" s="88" t="s">
        <v>3722</v>
      </c>
    </row>
    <row r="140" spans="1:6" x14ac:dyDescent="0.35">
      <c r="A140" s="8">
        <f ca="1">RANDBETWEEN(25,55)*200</f>
        <v>10800</v>
      </c>
      <c r="B140" s="2" t="s">
        <v>117</v>
      </c>
      <c r="E140" s="172">
        <f ca="1">1+A144/12</f>
        <v>1.0074166666666666</v>
      </c>
      <c r="F140" s="2" t="s">
        <v>1458</v>
      </c>
    </row>
    <row r="141" spans="1:6" x14ac:dyDescent="0.35">
      <c r="A141" s="8">
        <f ca="1">RANDBETWEEN(25,55)*5</f>
        <v>245</v>
      </c>
      <c r="B141" s="2" t="s">
        <v>120</v>
      </c>
      <c r="E141" s="2">
        <f ca="1">A145*12-A143</f>
        <v>19</v>
      </c>
      <c r="F141" s="2" t="s">
        <v>3201</v>
      </c>
    </row>
    <row r="142" spans="1:6" x14ac:dyDescent="0.35">
      <c r="A142" s="173">
        <f ca="1">RANDBETWEEN(15,25)</f>
        <v>17</v>
      </c>
      <c r="B142" s="2" t="s">
        <v>118</v>
      </c>
      <c r="E142" s="8">
        <f ca="1">A140*E140^(A145*12)</f>
        <v>16825.642130144955</v>
      </c>
      <c r="F142" s="2" t="s">
        <v>3202</v>
      </c>
    </row>
    <row r="143" spans="1:6" x14ac:dyDescent="0.35">
      <c r="A143" s="173">
        <f ca="1">A142+RANDBETWEEN(15,25)</f>
        <v>41</v>
      </c>
      <c r="B143" s="2" t="s">
        <v>119</v>
      </c>
      <c r="E143" s="8">
        <f ca="1">A141*(E140^(A143-A142+1)-1)/(A144/12)</f>
        <v>6702.4261881053526</v>
      </c>
      <c r="F143" s="2" t="s">
        <v>495</v>
      </c>
    </row>
    <row r="144" spans="1:6" x14ac:dyDescent="0.35">
      <c r="A144" s="14">
        <f ca="1">RANDBETWEEN(60,120)/1000</f>
        <v>8.8999999999999996E-2</v>
      </c>
      <c r="B144" s="2" t="s">
        <v>1457</v>
      </c>
      <c r="E144" s="8">
        <f ca="1">E142+E143*E140^E141</f>
        <v>24538.326148344888</v>
      </c>
      <c r="F144" s="2" t="s">
        <v>496</v>
      </c>
    </row>
    <row r="145" spans="1:6" x14ac:dyDescent="0.35">
      <c r="A145" s="2">
        <f ca="1">ROUND(A143/12+RANDBETWEEN(2,4),0)</f>
        <v>5</v>
      </c>
      <c r="B145" s="2" t="s">
        <v>3200</v>
      </c>
    </row>
    <row r="146" spans="1:6" ht="16" thickBot="1" x14ac:dyDescent="0.4"/>
    <row r="147" spans="1:6" ht="16.5" thickTop="1" thickBot="1" x14ac:dyDescent="0.4">
      <c r="B147" s="76" t="str">
        <f ca="1">[1]!std_ans($C$147)</f>
        <v>B</v>
      </c>
      <c r="C147" s="79" t="str">
        <f ca="1" xml:space="preserve"> "/\" &amp;RANDBETWEEN( 1,120) &amp; "/\" &amp;RANDBETWEEN( 1,120) &amp; "/\" &amp;0.1 &amp; "/\" &amp; E144</f>
        <v>/\76/\76/\0.1/\24538.3261483449</v>
      </c>
      <c r="D147" s="80" t="s">
        <v>1260</v>
      </c>
    </row>
    <row r="148" spans="1:6" ht="16" thickTop="1" x14ac:dyDescent="0.35">
      <c r="B148" s="110">
        <f ca="1">[1]!stdnum_A($C$147)</f>
        <v>26992.158763179392</v>
      </c>
      <c r="C148" s="82"/>
      <c r="D148" s="77"/>
    </row>
    <row r="149" spans="1:6" x14ac:dyDescent="0.35">
      <c r="B149" s="110">
        <f ca="1">[1]!stdnum_B($C$147)</f>
        <v>24538.326148344899</v>
      </c>
      <c r="C149" s="82"/>
      <c r="D149" s="77"/>
    </row>
    <row r="150" spans="1:6" x14ac:dyDescent="0.35">
      <c r="B150" s="110">
        <f ca="1">[1]!stdnum_C($C$147)</f>
        <v>22307.569225768089</v>
      </c>
      <c r="C150" s="82"/>
      <c r="D150" s="77"/>
    </row>
    <row r="151" spans="1:6" x14ac:dyDescent="0.35">
      <c r="B151" s="110">
        <f ca="1">[1]!stdnum_D($C$147)</f>
        <v>20279.608387061897</v>
      </c>
      <c r="C151" s="82"/>
      <c r="D151" s="77"/>
    </row>
    <row r="152" spans="1:6" ht="16" thickBot="1" x14ac:dyDescent="0.4">
      <c r="B152" s="111">
        <f ca="1">[1]!stdnum_E($C$147)</f>
        <v>18436.007624601723</v>
      </c>
      <c r="C152" s="84"/>
      <c r="D152" s="78"/>
    </row>
    <row r="153" spans="1:6" ht="16" thickTop="1" x14ac:dyDescent="0.35"/>
    <row r="155" spans="1:6" x14ac:dyDescent="0.35">
      <c r="A155" s="88" t="s">
        <v>1261</v>
      </c>
    </row>
    <row r="156" spans="1:6" x14ac:dyDescent="0.35">
      <c r="A156" s="8">
        <f ca="1">RANDBETWEEN(60,90)*150</f>
        <v>9300</v>
      </c>
      <c r="B156" s="2" t="s">
        <v>3107</v>
      </c>
      <c r="E156" s="2">
        <f ca="1">RANDBETWEEN(30,50)</f>
        <v>34</v>
      </c>
      <c r="F156" s="2" t="s">
        <v>1654</v>
      </c>
    </row>
    <row r="157" spans="1:6" x14ac:dyDescent="0.35">
      <c r="A157" s="106">
        <f ca="1">PMT(A158/A159,E156,-A156)</f>
        <v>310.90394063810777</v>
      </c>
      <c r="B157" s="2" t="s">
        <v>3108</v>
      </c>
    </row>
    <row r="158" spans="1:6" x14ac:dyDescent="0.35">
      <c r="A158" s="29">
        <f ca="1">RANDBETWEEN(40,120)/1000</f>
        <v>0.09</v>
      </c>
      <c r="B158" s="2" t="s">
        <v>2995</v>
      </c>
    </row>
    <row r="159" spans="1:6" x14ac:dyDescent="0.35">
      <c r="A159" s="2">
        <f ca="1">IF(A161=0,4,12)</f>
        <v>12</v>
      </c>
      <c r="B159" s="2" t="s">
        <v>2234</v>
      </c>
      <c r="C159" s="2" t="str">
        <f ca="1">IF(A161=0,"quarter","month")</f>
        <v>month</v>
      </c>
    </row>
    <row r="160" spans="1:6" x14ac:dyDescent="0.35">
      <c r="C160" s="2" t="str">
        <f ca="1">IF(A161=0,"quarters","months")</f>
        <v>months</v>
      </c>
    </row>
    <row r="161" spans="1:6" x14ac:dyDescent="0.35">
      <c r="A161" s="2">
        <f ca="1">(RANDBETWEEN(0,1))</f>
        <v>1</v>
      </c>
      <c r="C161" s="2" t="str">
        <f ca="1">IF(A161=0,"quarterly","monthly")</f>
        <v>monthly</v>
      </c>
    </row>
    <row r="162" spans="1:6" ht="16" thickBot="1" x14ac:dyDescent="0.4">
      <c r="D162" s="14"/>
    </row>
    <row r="163" spans="1:6" ht="16.5" thickTop="1" thickBot="1" x14ac:dyDescent="0.4">
      <c r="B163" s="76" t="str">
        <f ca="1">[1]!std_ans($C$163)</f>
        <v>B</v>
      </c>
      <c r="C163" s="79" t="str">
        <f ca="1" xml:space="preserve"> "/\" &amp;RANDBETWEEN( 1,120) &amp; "/\" &amp;RANDBETWEEN( 1,120) &amp; "/\" &amp;0.1 &amp; "/\" &amp; A157</f>
        <v>/\29/\51/\0.1/\310.903940638108</v>
      </c>
      <c r="D163" s="80" t="s">
        <v>1262</v>
      </c>
    </row>
    <row r="164" spans="1:6" ht="16" thickTop="1" x14ac:dyDescent="0.35">
      <c r="B164" s="302">
        <f ca="1">[1]!stdnum_A($C$163)</f>
        <v>256.94540548603965</v>
      </c>
      <c r="C164" s="82"/>
      <c r="D164" s="77"/>
    </row>
    <row r="165" spans="1:6" x14ac:dyDescent="0.35">
      <c r="B165" s="302">
        <f ca="1">[1]!stdnum_B($C$163)</f>
        <v>310.903940638108</v>
      </c>
      <c r="C165" s="82"/>
      <c r="D165" s="77"/>
    </row>
    <row r="166" spans="1:6" x14ac:dyDescent="0.35">
      <c r="B166" s="302">
        <f ca="1">[1]!stdnum_C($C$163)</f>
        <v>376.19376817211071</v>
      </c>
      <c r="C166" s="82"/>
      <c r="D166" s="77"/>
    </row>
    <row r="167" spans="1:6" x14ac:dyDescent="0.35">
      <c r="B167" s="302">
        <f ca="1">[1]!stdnum_D($C$163)</f>
        <v>341.99433470191883</v>
      </c>
      <c r="C167" s="82"/>
      <c r="D167" s="77"/>
    </row>
    <row r="168" spans="1:6" ht="16" thickBot="1" x14ac:dyDescent="0.4">
      <c r="B168" s="303">
        <f ca="1">[1]!stdnum_E($C$163)</f>
        <v>282.63994603464363</v>
      </c>
      <c r="C168" s="84"/>
      <c r="D168" s="78"/>
    </row>
    <row r="169" spans="1:6" ht="16" thickTop="1" x14ac:dyDescent="0.35"/>
    <row r="171" spans="1:6" x14ac:dyDescent="0.35">
      <c r="A171" s="88" t="s">
        <v>517</v>
      </c>
    </row>
    <row r="172" spans="1:6" x14ac:dyDescent="0.35">
      <c r="A172" s="8">
        <f ca="1">RANDBETWEEN(60,90)*150</f>
        <v>11700</v>
      </c>
      <c r="B172" s="2" t="s">
        <v>3107</v>
      </c>
      <c r="E172" s="2">
        <f ca="1">RANDBETWEEN(30,50)</f>
        <v>42</v>
      </c>
      <c r="F172" s="2" t="s">
        <v>1654</v>
      </c>
    </row>
    <row r="173" spans="1:6" x14ac:dyDescent="0.35">
      <c r="A173" s="106">
        <f ca="1">PMT(A174/A175,E172,-A172)</f>
        <v>443.27093743828692</v>
      </c>
      <c r="B173" s="2" t="s">
        <v>3108</v>
      </c>
    </row>
    <row r="174" spans="1:6" x14ac:dyDescent="0.35">
      <c r="A174" s="29">
        <f ca="1">RANDBETWEEN(40,120)/1000</f>
        <v>9.5000000000000001E-2</v>
      </c>
      <c r="B174" s="2" t="s">
        <v>2995</v>
      </c>
    </row>
    <row r="175" spans="1:6" x14ac:dyDescent="0.35">
      <c r="A175" s="2">
        <f ca="1">IF(A177=0,4,12)</f>
        <v>4</v>
      </c>
      <c r="B175" s="2" t="s">
        <v>2234</v>
      </c>
      <c r="C175" s="2" t="str">
        <f ca="1">IF(A177=0,"quarter","month")</f>
        <v>quarter</v>
      </c>
    </row>
    <row r="176" spans="1:6" x14ac:dyDescent="0.35">
      <c r="C176" s="2" t="str">
        <f ca="1">IF(A177=0,"quarters","months")</f>
        <v>quarters</v>
      </c>
    </row>
    <row r="177" spans="1:4" x14ac:dyDescent="0.35">
      <c r="A177" s="2">
        <f ca="1">(RANDBETWEEN(0,1))</f>
        <v>0</v>
      </c>
      <c r="C177" s="2" t="str">
        <f ca="1">IF(A177=0,"quarterly","monthly")</f>
        <v>quarterly</v>
      </c>
    </row>
    <row r="178" spans="1:4" ht="16" thickBot="1" x14ac:dyDescent="0.4"/>
    <row r="179" spans="1:4" ht="16.5" thickTop="1" thickBot="1" x14ac:dyDescent="0.4">
      <c r="B179" s="76" t="str">
        <f ca="1">[1]!std_ans($C$179)</f>
        <v>C</v>
      </c>
      <c r="C179" s="79" t="str">
        <f ca="1" xml:space="preserve"> "/\" &amp;RANDBETWEEN( 1,120) &amp; "/\" &amp;RANDBETWEEN( 1,120) &amp; "/\" &amp;0.1 &amp; "/\" &amp; E172</f>
        <v>/\110/\113/\0.1/\42</v>
      </c>
      <c r="D179" s="80" t="s">
        <v>518</v>
      </c>
    </row>
    <row r="180" spans="1:4" ht="16" thickTop="1" x14ac:dyDescent="0.35">
      <c r="B180" s="74">
        <f ca="1">[1]!stdnum_A($C$179)</f>
        <v>31.555221637866257</v>
      </c>
      <c r="C180" s="82"/>
      <c r="D180" s="77"/>
    </row>
    <row r="181" spans="1:4" x14ac:dyDescent="0.35">
      <c r="B181" s="74">
        <f ca="1">[1]!stdnum_B($C$179)</f>
        <v>38.18181818181818</v>
      </c>
      <c r="C181" s="82"/>
      <c r="D181" s="77"/>
    </row>
    <row r="182" spans="1:4" x14ac:dyDescent="0.35">
      <c r="B182" s="74">
        <f ca="1">[1]!stdnum_C($C$179)</f>
        <v>42</v>
      </c>
      <c r="C182" s="82"/>
      <c r="D182" s="77"/>
    </row>
    <row r="183" spans="1:4" x14ac:dyDescent="0.35">
      <c r="B183" s="74">
        <f ca="1">[1]!stdnum_D($C$179)</f>
        <v>28.686565125332962</v>
      </c>
      <c r="C183" s="82"/>
      <c r="D183" s="77"/>
    </row>
    <row r="184" spans="1:4" ht="16" thickBot="1" x14ac:dyDescent="0.4">
      <c r="B184" s="75">
        <f ca="1">[1]!stdnum_E($C$179)</f>
        <v>34.710743801652889</v>
      </c>
      <c r="C184" s="84"/>
      <c r="D184" s="78"/>
    </row>
    <row r="185" spans="1:4" ht="16" thickTop="1" x14ac:dyDescent="0.35"/>
    <row r="187" spans="1:4" x14ac:dyDescent="0.35">
      <c r="A187" s="88" t="s">
        <v>519</v>
      </c>
    </row>
    <row r="188" spans="1:4" x14ac:dyDescent="0.35">
      <c r="A188" s="8">
        <f ca="1">RANDBETWEEN(80,180)*100</f>
        <v>16500</v>
      </c>
      <c r="B188" s="2" t="s">
        <v>711</v>
      </c>
    </row>
    <row r="189" spans="1:4" x14ac:dyDescent="0.35">
      <c r="A189" s="9">
        <f ca="1">RANDBETWEEN(75,105)/1000</f>
        <v>9.0999999999999998E-2</v>
      </c>
      <c r="B189" s="2" t="s">
        <v>2567</v>
      </c>
    </row>
    <row r="190" spans="1:4" x14ac:dyDescent="0.35">
      <c r="A190" s="27">
        <f ca="1">A188*A189/12</f>
        <v>125.125</v>
      </c>
      <c r="B190" s="2" t="s">
        <v>2568</v>
      </c>
    </row>
    <row r="191" spans="1:4" ht="16" thickBot="1" x14ac:dyDescent="0.4"/>
    <row r="192" spans="1:4" ht="16.5" thickTop="1" thickBot="1" x14ac:dyDescent="0.4">
      <c r="B192" s="76" t="str">
        <f ca="1">[1]!std_ans($C$192)</f>
        <v>D</v>
      </c>
      <c r="C192" s="79" t="str">
        <f ca="1" xml:space="preserve"> "/\" &amp;RANDBETWEEN( 1,120) &amp; "/\" &amp;RANDBETWEEN( 1,120) &amp; "/\" &amp;0.1 &amp; "/\" &amp; A190</f>
        <v>/\81/\6/\0.1/\125.125</v>
      </c>
      <c r="D192" s="80" t="s">
        <v>520</v>
      </c>
    </row>
    <row r="193" spans="1:5" ht="16" thickTop="1" x14ac:dyDescent="0.35">
      <c r="B193" s="302">
        <f ca="1">[1]!stdnum_A($C$192)</f>
        <v>166.54137500000004</v>
      </c>
      <c r="C193" s="82"/>
      <c r="D193" s="77"/>
    </row>
    <row r="194" spans="1:5" x14ac:dyDescent="0.35">
      <c r="B194" s="302">
        <f ca="1">[1]!stdnum_B($C$192)</f>
        <v>137.63750000000002</v>
      </c>
      <c r="C194" s="82"/>
      <c r="D194" s="77"/>
    </row>
    <row r="195" spans="1:5" x14ac:dyDescent="0.35">
      <c r="B195" s="302">
        <f ca="1">[1]!stdnum_C($C$192)</f>
        <v>183.19551250000006</v>
      </c>
      <c r="C195" s="82"/>
      <c r="D195" s="77"/>
    </row>
    <row r="196" spans="1:5" x14ac:dyDescent="0.35">
      <c r="B196" s="302">
        <f ca="1">[1]!stdnum_D($C$192)</f>
        <v>125.125</v>
      </c>
      <c r="C196" s="82"/>
      <c r="D196" s="77"/>
    </row>
    <row r="197" spans="1:5" ht="16" thickBot="1" x14ac:dyDescent="0.4">
      <c r="B197" s="303">
        <f ca="1">[1]!stdnum_E($C$192)</f>
        <v>151.40125000000003</v>
      </c>
      <c r="C197" s="84"/>
      <c r="D197" s="78"/>
    </row>
    <row r="198" spans="1:5" ht="16" thickTop="1" x14ac:dyDescent="0.35"/>
    <row r="200" spans="1:5" x14ac:dyDescent="0.35">
      <c r="A200" s="88" t="s">
        <v>2177</v>
      </c>
    </row>
    <row r="201" spans="1:5" x14ac:dyDescent="0.35">
      <c r="A201" s="8">
        <f ca="1">RANDBETWEEN(80,180)*1000</f>
        <v>126000</v>
      </c>
      <c r="B201" s="2" t="s">
        <v>3270</v>
      </c>
      <c r="E201" s="33">
        <f ca="1">-PMT(A203/A204,A206,A201)</f>
        <v>942.17061379384404</v>
      </c>
    </row>
    <row r="202" spans="1:5" x14ac:dyDescent="0.35">
      <c r="A202" s="2">
        <f ca="1">RANDBETWEEN(2,6)*5</f>
        <v>30</v>
      </c>
      <c r="B202" s="2" t="s">
        <v>2569</v>
      </c>
    </row>
    <row r="203" spans="1:5" x14ac:dyDescent="0.35">
      <c r="A203" s="9">
        <f ca="1">RANDBETWEEN(75,105)/1000</f>
        <v>8.2000000000000003E-2</v>
      </c>
      <c r="B203" s="2" t="s">
        <v>2567</v>
      </c>
    </row>
    <row r="204" spans="1:5" x14ac:dyDescent="0.35">
      <c r="A204" s="2">
        <f ca="1">CHOOSE(RANDBETWEEN(1,4),1,2,4,12)</f>
        <v>12</v>
      </c>
      <c r="B204" s="2" t="s">
        <v>2668</v>
      </c>
    </row>
    <row r="205" spans="1:5" x14ac:dyDescent="0.35">
      <c r="A205" s="6" t="str">
        <f ca="1">IF(A204=1,"annually",IF(A204=2,"semiannually",IF(A204=4,"quarterly","monthly")))</f>
        <v>monthly</v>
      </c>
      <c r="B205" s="2" t="s">
        <v>267</v>
      </c>
    </row>
    <row r="206" spans="1:5" x14ac:dyDescent="0.35">
      <c r="A206" s="2">
        <f ca="1">A202*A204</f>
        <v>360</v>
      </c>
      <c r="B206" s="2" t="s">
        <v>266</v>
      </c>
    </row>
    <row r="207" spans="1:5" ht="16" thickBot="1" x14ac:dyDescent="0.4"/>
    <row r="208" spans="1:5" ht="16.5" thickTop="1" thickBot="1" x14ac:dyDescent="0.4">
      <c r="B208" s="76" t="str">
        <f ca="1">[1]!std_ans($C$208)</f>
        <v>B</v>
      </c>
      <c r="C208" s="79" t="str">
        <f ca="1" xml:space="preserve"> "/\" &amp;RANDBETWEEN( 1,120) &amp; "/\" &amp;RANDBETWEEN( 1,120) &amp; "/\" &amp;0.1 &amp; "/\" &amp; E201</f>
        <v>/\28/\10/\0.1/\942.170613793844</v>
      </c>
      <c r="D208" s="80" t="s">
        <v>2178</v>
      </c>
    </row>
    <row r="209" spans="1:12" ht="16" thickTop="1" x14ac:dyDescent="0.35">
      <c r="B209" s="110">
        <f ca="1">[1]!stdnum_A($C$208)</f>
        <v>1140.0264426905514</v>
      </c>
      <c r="C209" s="82"/>
      <c r="D209" s="77"/>
    </row>
    <row r="210" spans="1:12" x14ac:dyDescent="0.35">
      <c r="B210" s="110">
        <f ca="1">[1]!stdnum_B($C$208)</f>
        <v>942.17061379384404</v>
      </c>
      <c r="C210" s="82"/>
      <c r="D210" s="77"/>
    </row>
    <row r="211" spans="1:12" x14ac:dyDescent="0.35">
      <c r="B211" s="110">
        <f ca="1">[1]!stdnum_C($C$208)</f>
        <v>1379.4319956555673</v>
      </c>
      <c r="C211" s="82"/>
      <c r="D211" s="77"/>
    </row>
    <row r="212" spans="1:12" x14ac:dyDescent="0.35">
      <c r="B212" s="110">
        <f ca="1">[1]!stdnum_D($C$208)</f>
        <v>1036.3876751732284</v>
      </c>
      <c r="C212" s="82"/>
      <c r="D212" s="77"/>
    </row>
    <row r="213" spans="1:12" ht="16" thickBot="1" x14ac:dyDescent="0.4">
      <c r="B213" s="111">
        <f ca="1">[1]!stdnum_E($C$208)</f>
        <v>1254.0290869596067</v>
      </c>
      <c r="C213" s="84"/>
      <c r="D213" s="78"/>
    </row>
    <row r="214" spans="1:12" ht="16" thickTop="1" x14ac:dyDescent="0.35"/>
    <row r="216" spans="1:12" x14ac:dyDescent="0.35">
      <c r="A216" s="88" t="s">
        <v>2180</v>
      </c>
    </row>
    <row r="217" spans="1:12" x14ac:dyDescent="0.35">
      <c r="A217" s="8">
        <f ca="1">RANDBETWEEN(10,30)*10000</f>
        <v>110000</v>
      </c>
      <c r="B217" s="2" t="s">
        <v>12</v>
      </c>
      <c r="E217" s="8">
        <f ca="1">PMT(A218/12,A219*12,-A217)</f>
        <v>920.0840758928091</v>
      </c>
      <c r="F217" s="2" t="s">
        <v>1196</v>
      </c>
    </row>
    <row r="218" spans="1:12" x14ac:dyDescent="0.35">
      <c r="A218" s="9">
        <f ca="1">RANDBETWEEN(75,105)/1000</f>
        <v>0.08</v>
      </c>
      <c r="B218" s="2" t="s">
        <v>13</v>
      </c>
      <c r="E218" s="8">
        <f ca="1">E217/(1+A218/12)</f>
        <v>913.99080386702894</v>
      </c>
      <c r="F218" s="2" t="s">
        <v>1197</v>
      </c>
      <c r="I218" s="2" t="str">
        <f ca="1">IF(J218=0,"principal","interest")</f>
        <v>interest</v>
      </c>
      <c r="J218" s="2">
        <f ca="1">(RANDBETWEEN(0,1))</f>
        <v>1</v>
      </c>
    </row>
    <row r="219" spans="1:12" x14ac:dyDescent="0.35">
      <c r="A219" s="2">
        <f ca="1">RANDBETWEEN(4,7)*5</f>
        <v>20</v>
      </c>
      <c r="B219" s="2" t="s">
        <v>1195</v>
      </c>
      <c r="E219" s="27" t="str">
        <f ca="1">IF(E217-E218&lt;10,"#RECALCULATE",E217-E218)</f>
        <v>#RECALCULATE</v>
      </c>
      <c r="F219" s="2" t="s">
        <v>977</v>
      </c>
      <c r="I219" s="13" t="str">
        <f ca="1">IF(J218=0,E218,E219)</f>
        <v>#RECALCULATE</v>
      </c>
    </row>
    <row r="220" spans="1:12" ht="16" thickBot="1" x14ac:dyDescent="0.4">
      <c r="B220" s="88" t="s">
        <v>2978</v>
      </c>
      <c r="F220" s="88" t="s">
        <v>2981</v>
      </c>
      <c r="J220" s="88" t="s">
        <v>2982</v>
      </c>
    </row>
    <row r="221" spans="1:12" ht="16.5" thickTop="1" thickBot="1" x14ac:dyDescent="0.4">
      <c r="B221" s="76" t="str">
        <f ca="1">[1]!std_ans($C$221)</f>
        <v>B</v>
      </c>
      <c r="C221" s="79" t="str">
        <f ca="1" xml:space="preserve"> "/\" &amp;RANDBETWEEN( 1,120) &amp; "/\" &amp;RANDBETWEEN( 1,120) &amp; "/\" &amp;0.1 &amp; "/\" &amp; E218</f>
        <v>/\54/\14/\0.1/\913.990803867029</v>
      </c>
      <c r="D221" s="80" t="s">
        <v>2181</v>
      </c>
      <c r="F221" s="76" t="str">
        <f ca="1">[1]!std_ans($G$221)</f>
        <v>#RECALCULATE</v>
      </c>
      <c r="G221" s="79" t="str">
        <f ca="1" xml:space="preserve"> "/\" &amp;RANDBETWEEN( 1,120) &amp; "/\" &amp;RANDBETWEEN( 1,120) &amp; "/\" &amp;0.1 &amp; "/\" &amp; E219</f>
        <v>/\43/\76/\0.1/\#RECALCULATE</v>
      </c>
      <c r="H221" s="80" t="s">
        <v>2979</v>
      </c>
      <c r="J221" s="76" t="str">
        <f ca="1">[1]!std_ans($K$221)</f>
        <v>#RECALCULATE</v>
      </c>
      <c r="K221" s="79" t="str">
        <f ca="1" xml:space="preserve"> "/\" &amp;RANDBETWEEN( 1,120) &amp; "/\" &amp;RANDBETWEEN( 1,120) &amp; "/\" &amp;0.1 &amp; "/\" &amp; I219</f>
        <v>/\71/\49/\0.1/\#RECALCULATE</v>
      </c>
      <c r="L221" s="80" t="s">
        <v>2980</v>
      </c>
    </row>
    <row r="222" spans="1:12" ht="16" thickTop="1" x14ac:dyDescent="0.35">
      <c r="B222" s="302">
        <f ca="1">[1]!stdnum_A($C$221)</f>
        <v>1005.3898842537319</v>
      </c>
      <c r="C222" s="82"/>
      <c r="D222" s="77"/>
      <c r="F222" s="96" t="str">
        <f ca="1">[1]!stdnum_A($G$221)</f>
        <v>#RECALCULATE</v>
      </c>
      <c r="G222" s="82"/>
      <c r="H222" s="77"/>
      <c r="J222" s="96" t="str">
        <f ca="1">[1]!stdnum_A($K$221)</f>
        <v>#RECALCULATE</v>
      </c>
      <c r="K222" s="82"/>
      <c r="L222" s="77"/>
    </row>
    <row r="223" spans="1:12" x14ac:dyDescent="0.35">
      <c r="B223" s="302">
        <f ca="1">[1]!stdnum_B($C$221)</f>
        <v>913.99080386702894</v>
      </c>
      <c r="C223" s="82"/>
      <c r="D223" s="77"/>
      <c r="F223" s="96" t="str">
        <f ca="1">[1]!stdnum_B($G$221)</f>
        <v>#RECALCULATE</v>
      </c>
      <c r="G223" s="82"/>
      <c r="H223" s="77"/>
      <c r="J223" s="96" t="str">
        <f ca="1">[1]!stdnum_B($K$221)</f>
        <v>#RECALCULATE</v>
      </c>
      <c r="K223" s="82"/>
      <c r="L223" s="77"/>
    </row>
    <row r="224" spans="1:12" x14ac:dyDescent="0.35">
      <c r="B224" s="302">
        <f ca="1">[1]!stdnum_C($C$221)</f>
        <v>1105.9288726791051</v>
      </c>
      <c r="C224" s="82"/>
      <c r="D224" s="77"/>
      <c r="F224" s="96" t="str">
        <f ca="1">[1]!stdnum_C($G$221)</f>
        <v>#RECALCULATE</v>
      </c>
      <c r="G224" s="82"/>
      <c r="H224" s="77"/>
      <c r="J224" s="96" t="str">
        <f ca="1">[1]!stdnum_C($K$221)</f>
        <v>#RECALCULATE</v>
      </c>
      <c r="K224" s="82"/>
      <c r="L224" s="77"/>
    </row>
    <row r="225" spans="1:12" x14ac:dyDescent="0.35">
      <c r="B225" s="302">
        <f ca="1">[1]!stdnum_D($C$221)</f>
        <v>1338.1739359417174</v>
      </c>
      <c r="C225" s="82"/>
      <c r="D225" s="77"/>
      <c r="F225" s="96" t="str">
        <f ca="1">[1]!stdnum_D($G$221)</f>
        <v>#RECALCULATE</v>
      </c>
      <c r="G225" s="82"/>
      <c r="H225" s="77"/>
      <c r="J225" s="96" t="str">
        <f ca="1">[1]!stdnum_D($K$221)</f>
        <v>#RECALCULATE</v>
      </c>
      <c r="K225" s="82"/>
      <c r="L225" s="77"/>
    </row>
    <row r="226" spans="1:12" ht="16" thickBot="1" x14ac:dyDescent="0.4">
      <c r="B226" s="303">
        <f ca="1">[1]!stdnum_E($C$221)</f>
        <v>1216.5217599470159</v>
      </c>
      <c r="C226" s="84"/>
      <c r="D226" s="78"/>
      <c r="F226" s="97" t="str">
        <f ca="1">[1]!stdnum_E($G$221)</f>
        <v>#RECALCULATE</v>
      </c>
      <c r="G226" s="84"/>
      <c r="H226" s="78"/>
      <c r="J226" s="97" t="str">
        <f ca="1">[1]!stdnum_E($K$221)</f>
        <v>#RECALCULATE</v>
      </c>
      <c r="K226" s="84"/>
      <c r="L226" s="78"/>
    </row>
    <row r="227" spans="1:12" ht="16" thickTop="1" x14ac:dyDescent="0.35"/>
    <row r="229" spans="1:12" x14ac:dyDescent="0.35">
      <c r="A229" s="88" t="s">
        <v>2182</v>
      </c>
    </row>
    <row r="230" spans="1:12" x14ac:dyDescent="0.35">
      <c r="A230" s="8">
        <f ca="1">RANDBETWEEN(90,180)*1000</f>
        <v>108000</v>
      </c>
      <c r="B230" s="2" t="s">
        <v>3270</v>
      </c>
      <c r="D230" s="8">
        <f ca="1">A230/2</f>
        <v>54000</v>
      </c>
      <c r="E230" s="2" t="s">
        <v>3671</v>
      </c>
    </row>
    <row r="231" spans="1:12" x14ac:dyDescent="0.35">
      <c r="A231" s="2">
        <f ca="1">RANDBETWEEN(3,6)*5</f>
        <v>20</v>
      </c>
      <c r="B231" s="2" t="s">
        <v>1814</v>
      </c>
      <c r="D231" s="174">
        <f ca="1">NPER(A232/12,A236,-D230)</f>
        <v>68.897764996300168</v>
      </c>
      <c r="E231" s="2" t="s">
        <v>3649</v>
      </c>
    </row>
    <row r="232" spans="1:12" x14ac:dyDescent="0.35">
      <c r="A232" s="9">
        <f ca="1">RANDBETWEEN(75,105)/1000</f>
        <v>9.8000000000000004E-2</v>
      </c>
      <c r="B232" s="2" t="s">
        <v>2066</v>
      </c>
      <c r="D232" s="3">
        <f ca="1">A233-D231</f>
        <v>171.10223500369983</v>
      </c>
      <c r="E232" s="2" t="s">
        <v>3670</v>
      </c>
    </row>
    <row r="233" spans="1:12" x14ac:dyDescent="0.35">
      <c r="A233" s="2">
        <f ca="1">A231*12</f>
        <v>240</v>
      </c>
      <c r="B233" s="2" t="s">
        <v>1376</v>
      </c>
    </row>
    <row r="234" spans="1:12" x14ac:dyDescent="0.35">
      <c r="A234" s="12">
        <f ca="1">RANDBETWEEN(1,4)/5</f>
        <v>0.2</v>
      </c>
      <c r="B234" s="2" t="s">
        <v>1841</v>
      </c>
      <c r="D234" s="10">
        <f ca="1">A234*A230</f>
        <v>21600</v>
      </c>
      <c r="E234" s="2" t="s">
        <v>3420</v>
      </c>
    </row>
    <row r="235" spans="1:12" x14ac:dyDescent="0.35">
      <c r="A235" s="114">
        <f ca="1">(1-(1+A232/12)^(-A233))/(A232/12)</f>
        <v>105.06316752949334</v>
      </c>
      <c r="B235" s="2" t="s">
        <v>1815</v>
      </c>
      <c r="D235" s="3">
        <f ca="1">NPER(A232/12,A236,-D234)</f>
        <v>23.146613745143839</v>
      </c>
      <c r="E235" s="2" t="s">
        <v>3421</v>
      </c>
    </row>
    <row r="236" spans="1:12" x14ac:dyDescent="0.35">
      <c r="A236" s="8">
        <f ca="1">A230/A235</f>
        <v>1027.9530166428899</v>
      </c>
      <c r="B236" s="2" t="s">
        <v>3648</v>
      </c>
      <c r="D236" s="3">
        <f ca="1">A233-D235</f>
        <v>216.85338625485616</v>
      </c>
      <c r="E236" s="2" t="s">
        <v>3496</v>
      </c>
    </row>
    <row r="237" spans="1:12" ht="16" thickBot="1" x14ac:dyDescent="0.4"/>
    <row r="238" spans="1:12" ht="16.5" thickTop="1" thickBot="1" x14ac:dyDescent="0.4">
      <c r="B238" s="76" t="str">
        <f ca="1">[1]!std_ans($C$238)</f>
        <v>C</v>
      </c>
      <c r="C238" s="79" t="str">
        <f ca="1" xml:space="preserve"> "/\" &amp;RANDBETWEEN( 1,120) &amp; "/\" &amp;RANDBETWEEN( 1,120) &amp; "/\" &amp;0.1 &amp; "/\" &amp; D232</f>
        <v>/\43/\91/\0.1/\171.1022350037</v>
      </c>
      <c r="D238" s="80" t="s">
        <v>2183</v>
      </c>
    </row>
    <row r="239" spans="1:12" ht="16" thickTop="1" x14ac:dyDescent="0.35">
      <c r="B239" s="81">
        <f ca="1">[1]!stdnum_A($C$238)</f>
        <v>188.21245850407001</v>
      </c>
      <c r="C239" s="82"/>
      <c r="D239" s="77"/>
    </row>
    <row r="240" spans="1:12" x14ac:dyDescent="0.35">
      <c r="B240" s="81">
        <f ca="1">[1]!stdnum_B($C$238)</f>
        <v>155.547486367</v>
      </c>
      <c r="C240" s="82"/>
      <c r="D240" s="77"/>
    </row>
    <row r="241" spans="1:6" x14ac:dyDescent="0.35">
      <c r="B241" s="81">
        <f ca="1">[1]!stdnum_C($C$238)</f>
        <v>171.1022350037</v>
      </c>
      <c r="C241" s="82"/>
      <c r="D241" s="77"/>
    </row>
    <row r="242" spans="1:6" x14ac:dyDescent="0.35">
      <c r="B242" s="81">
        <f ca="1">[1]!stdnum_D($C$238)</f>
        <v>128.55164162561979</v>
      </c>
      <c r="C242" s="82"/>
      <c r="D242" s="77"/>
    </row>
    <row r="243" spans="1:6" ht="16" thickBot="1" x14ac:dyDescent="0.4">
      <c r="B243" s="83">
        <f ca="1">[1]!stdnum_E($C$238)</f>
        <v>141.4068057881818</v>
      </c>
      <c r="C243" s="84"/>
      <c r="D243" s="78"/>
    </row>
    <row r="244" spans="1:6" ht="16" thickTop="1" x14ac:dyDescent="0.35"/>
    <row r="246" spans="1:6" ht="16" thickBot="1" x14ac:dyDescent="0.4">
      <c r="A246" s="88" t="s">
        <v>902</v>
      </c>
    </row>
    <row r="247" spans="1:6" ht="16.5" thickTop="1" thickBot="1" x14ac:dyDescent="0.4">
      <c r="B247" s="76" t="str">
        <f ca="1">[1]!std_ans($C$247)</f>
        <v>E</v>
      </c>
      <c r="C247" s="79" t="str">
        <f ca="1" xml:space="preserve"> "/\" &amp;RANDBETWEEN( 1,120) &amp; "/\" &amp;RANDBETWEEN( 1,120) &amp; "/\" &amp;0.1 &amp; "/\" &amp; D236</f>
        <v>/\88/\88/\0.1/\216.853386254856</v>
      </c>
      <c r="D247" s="80" t="s">
        <v>903</v>
      </c>
    </row>
    <row r="248" spans="1:6" ht="16" thickTop="1" x14ac:dyDescent="0.35">
      <c r="B248" s="81">
        <f ca="1">[1]!stdnum_A($C$247)</f>
        <v>238.53872488034162</v>
      </c>
      <c r="C248" s="82"/>
      <c r="D248" s="77"/>
    </row>
    <row r="249" spans="1:6" x14ac:dyDescent="0.35">
      <c r="B249" s="81">
        <f ca="1">[1]!stdnum_B($C$247)</f>
        <v>179.21767459079007</v>
      </c>
      <c r="C249" s="82"/>
      <c r="D249" s="77"/>
    </row>
    <row r="250" spans="1:6" x14ac:dyDescent="0.35">
      <c r="B250" s="81">
        <f ca="1">[1]!stdnum_C($C$247)</f>
        <v>197.13944204986907</v>
      </c>
      <c r="C250" s="82"/>
      <c r="D250" s="77"/>
    </row>
    <row r="251" spans="1:6" x14ac:dyDescent="0.35">
      <c r="B251" s="81">
        <f ca="1">[1]!stdnum_D($C$247)</f>
        <v>162.92515871890001</v>
      </c>
      <c r="C251" s="82"/>
      <c r="D251" s="77"/>
    </row>
    <row r="252" spans="1:6" ht="16" thickBot="1" x14ac:dyDescent="0.4">
      <c r="B252" s="83">
        <f ca="1">[1]!stdnum_E($C$247)</f>
        <v>216.85338625485599</v>
      </c>
      <c r="C252" s="84"/>
      <c r="D252" s="78"/>
    </row>
    <row r="253" spans="1:6" ht="16" thickTop="1" x14ac:dyDescent="0.35"/>
    <row r="255" spans="1:6" x14ac:dyDescent="0.35">
      <c r="A255" s="88" t="s">
        <v>2742</v>
      </c>
    </row>
    <row r="256" spans="1:6" x14ac:dyDescent="0.35">
      <c r="A256" s="8">
        <f ca="1">RANDBETWEEN(15,30)*100</f>
        <v>1700</v>
      </c>
      <c r="B256" s="2" t="s">
        <v>3212</v>
      </c>
      <c r="E256" s="114">
        <f ca="1">((1+A257/A260)^A259-1)/(A257/A260)</f>
        <v>22.133233442782217</v>
      </c>
      <c r="F256" s="2" t="s">
        <v>3575</v>
      </c>
    </row>
    <row r="257" spans="1:8" x14ac:dyDescent="0.35">
      <c r="A257" s="9">
        <f ca="1">RANDBETWEEN(45,95)/1000</f>
        <v>6.4000000000000001E-2</v>
      </c>
      <c r="B257" s="2" t="s">
        <v>2995</v>
      </c>
      <c r="E257" s="8">
        <f ca="1">A256/(A257/A260)</f>
        <v>53125</v>
      </c>
      <c r="F257" s="2" t="s">
        <v>3240</v>
      </c>
    </row>
    <row r="258" spans="1:8" x14ac:dyDescent="0.35">
      <c r="A258" s="2">
        <f ca="1">RANDBETWEEN(4,8)</f>
        <v>8</v>
      </c>
      <c r="B258" s="2" t="s">
        <v>2201</v>
      </c>
      <c r="E258" s="8">
        <f ca="1">E257/E256</f>
        <v>2400.2367361884212</v>
      </c>
      <c r="F258" s="2" t="s">
        <v>3213</v>
      </c>
    </row>
    <row r="259" spans="1:8" x14ac:dyDescent="0.35">
      <c r="A259" s="2">
        <f ca="1">A260*A258+1</f>
        <v>17</v>
      </c>
      <c r="B259" s="2" t="s">
        <v>646</v>
      </c>
    </row>
    <row r="260" spans="1:8" x14ac:dyDescent="0.35">
      <c r="A260" s="2">
        <f ca="1">CHOOSE(RANDBETWEEN( 1,3),2,4,12)</f>
        <v>2</v>
      </c>
      <c r="B260" s="2" t="s">
        <v>2234</v>
      </c>
      <c r="C260" s="2" t="str">
        <f ca="1">IF(A260=2,"semiannum",IF(A260=4,"quarter","month"))</f>
        <v>semiannum</v>
      </c>
      <c r="E260" s="10">
        <f ca="1">A256*E256</f>
        <v>37626.496852729768</v>
      </c>
      <c r="F260" s="2" t="s">
        <v>2037</v>
      </c>
    </row>
    <row r="261" spans="1:8" x14ac:dyDescent="0.35">
      <c r="C261" s="2" t="str">
        <f ca="1">IF(A260=2,"half-years",IF(A260=4,"quarters","months"))</f>
        <v>half-years</v>
      </c>
      <c r="E261" s="10">
        <f ca="1">E260*A257/A260</f>
        <v>1204.0478992873525</v>
      </c>
      <c r="F261" s="2" t="s">
        <v>366</v>
      </c>
    </row>
    <row r="262" spans="1:8" x14ac:dyDescent="0.35">
      <c r="C262" s="2" t="str">
        <f ca="1">IF(A260=2,"semiannually",IF(A260=4,"quarterly","monthly"))</f>
        <v>semiannually</v>
      </c>
    </row>
    <row r="264" spans="1:8" ht="16" thickBot="1" x14ac:dyDescent="0.4">
      <c r="B264" s="88" t="s">
        <v>187</v>
      </c>
      <c r="F264" s="88" t="s">
        <v>189</v>
      </c>
    </row>
    <row r="265" spans="1:8" ht="16.5" thickTop="1" thickBot="1" x14ac:dyDescent="0.4">
      <c r="B265" s="76" t="str">
        <f ca="1">[1]!std_ans($C$265)</f>
        <v>C</v>
      </c>
      <c r="C265" s="79" t="str">
        <f ca="1" xml:space="preserve"> "/\" &amp;RANDBETWEEN( 1,120) &amp; "/\" &amp;RANDBETWEEN( 1,120) &amp; "/\" &amp;0.1 &amp; "/\" &amp; E258</f>
        <v>/\61/\98/\0.1/\2400.23673618842</v>
      </c>
      <c r="D265" s="80" t="s">
        <v>188</v>
      </c>
      <c r="F265" s="76" t="str">
        <f ca="1">[1]!std_ans($G$265)</f>
        <v>C</v>
      </c>
      <c r="G265" s="79" t="str">
        <f ca="1" xml:space="preserve"> "/\" &amp;RANDBETWEEN( 1,120) &amp; "/\" &amp;RANDBETWEEN( 1,120) &amp; "/\" &amp;0.1 &amp; "/\" &amp; E261</f>
        <v>/\79/\42/\0.1/\1204.04789928735</v>
      </c>
      <c r="H265" s="80" t="s">
        <v>190</v>
      </c>
    </row>
    <row r="266" spans="1:8" ht="16" thickTop="1" x14ac:dyDescent="0.35">
      <c r="B266" s="110">
        <f ca="1">[1]!stdnum_A($C$265)</f>
        <v>1803.3333855660549</v>
      </c>
      <c r="C266" s="82"/>
      <c r="D266" s="77"/>
      <c r="F266" s="110">
        <f ca="1">[1]!stdnum_A($G$265)</f>
        <v>1324.452689216085</v>
      </c>
      <c r="G266" s="82"/>
      <c r="H266" s="77"/>
    </row>
    <row r="267" spans="1:8" x14ac:dyDescent="0.35">
      <c r="B267" s="110">
        <f ca="1">[1]!stdnum_B($C$265)</f>
        <v>2182.0333965349269</v>
      </c>
      <c r="C267" s="82"/>
      <c r="D267" s="77"/>
      <c r="F267" s="110">
        <f ca="1">[1]!stdnum_B($G$265)</f>
        <v>1456.8979581376936</v>
      </c>
      <c r="G267" s="82"/>
      <c r="H267" s="77"/>
    </row>
    <row r="268" spans="1:8" x14ac:dyDescent="0.35">
      <c r="B268" s="110">
        <f ca="1">[1]!stdnum_C($C$265)</f>
        <v>2400.2367361884199</v>
      </c>
      <c r="C268" s="82"/>
      <c r="D268" s="77"/>
      <c r="F268" s="110">
        <f ca="1">[1]!stdnum_C($G$265)</f>
        <v>1204.04789928735</v>
      </c>
      <c r="G268" s="82"/>
      <c r="H268" s="77"/>
    </row>
    <row r="269" spans="1:8" x14ac:dyDescent="0.35">
      <c r="B269" s="110">
        <f ca="1">[1]!stdnum_D($C$265)</f>
        <v>1639.3939868782318</v>
      </c>
      <c r="C269" s="82"/>
      <c r="D269" s="77"/>
      <c r="F269" s="110">
        <f ca="1">[1]!stdnum_D($G$265)</f>
        <v>1602.5877539514634</v>
      </c>
      <c r="G269" s="82"/>
      <c r="H269" s="77"/>
    </row>
    <row r="270" spans="1:8" ht="16" thickBot="1" x14ac:dyDescent="0.4">
      <c r="B270" s="111">
        <f ca="1">[1]!stdnum_E($C$265)</f>
        <v>1983.6667241226608</v>
      </c>
      <c r="C270" s="84"/>
      <c r="D270" s="78"/>
      <c r="F270" s="111">
        <f ca="1">[1]!stdnum_E($G$265)</f>
        <v>1094.5889993521364</v>
      </c>
      <c r="G270" s="84"/>
      <c r="H270" s="78"/>
    </row>
    <row r="271" spans="1:8" ht="16" thickTop="1" x14ac:dyDescent="0.35"/>
    <row r="273" spans="1:8" x14ac:dyDescent="0.35">
      <c r="A273" s="120" t="s">
        <v>3830</v>
      </c>
    </row>
    <row r="274" spans="1:8" x14ac:dyDescent="0.35">
      <c r="A274" s="29">
        <f ca="1">RANDBETWEEN(45,65)/1000</f>
        <v>5.0999999999999997E-2</v>
      </c>
      <c r="B274" s="2" t="s">
        <v>3576</v>
      </c>
      <c r="D274" s="175">
        <f ca="1">A274/12</f>
        <v>4.2499999999999994E-3</v>
      </c>
      <c r="E274" s="2" t="s">
        <v>3627</v>
      </c>
    </row>
    <row r="275" spans="1:8" x14ac:dyDescent="0.35">
      <c r="A275" s="2">
        <f ca="1">RANDBETWEEN(12,22)*2</f>
        <v>32</v>
      </c>
      <c r="B275" s="2" t="s">
        <v>2964</v>
      </c>
      <c r="D275" s="2">
        <f ca="1">A275*12</f>
        <v>384</v>
      </c>
      <c r="E275" s="2" t="s">
        <v>3628</v>
      </c>
    </row>
    <row r="276" spans="1:8" x14ac:dyDescent="0.35">
      <c r="A276" s="8">
        <f ca="1">RANDBETWEEN(100,250)*10</f>
        <v>2260</v>
      </c>
      <c r="B276" s="2" t="s">
        <v>3626</v>
      </c>
      <c r="D276" s="2">
        <f ca="1">RANDBETWEEN(96,360)</f>
        <v>330</v>
      </c>
      <c r="E276" s="2" t="s">
        <v>647</v>
      </c>
    </row>
    <row r="277" spans="1:8" x14ac:dyDescent="0.35">
      <c r="D277" s="8">
        <f ca="1">(A276/D274)*(1-(1+D274)^(-D276))</f>
        <v>400571.24893530167</v>
      </c>
      <c r="E277" s="2" t="s">
        <v>648</v>
      </c>
    </row>
    <row r="278" spans="1:8" x14ac:dyDescent="0.35">
      <c r="D278" s="13">
        <f ca="1">(D277*D274)/((1+D274)^D275-1)</f>
        <v>415.58738477035803</v>
      </c>
      <c r="E278" s="2" t="s">
        <v>649</v>
      </c>
    </row>
    <row r="280" spans="1:8" ht="16" thickBot="1" x14ac:dyDescent="0.4">
      <c r="B280" s="120" t="s">
        <v>53</v>
      </c>
      <c r="F280" s="88" t="s">
        <v>3828</v>
      </c>
    </row>
    <row r="281" spans="1:8" ht="16.5" thickTop="1" thickBot="1" x14ac:dyDescent="0.4">
      <c r="B281" s="76" t="str">
        <f ca="1">[1]!std_ans($C$281)</f>
        <v>B</v>
      </c>
      <c r="C281" s="79" t="str">
        <f ca="1" xml:space="preserve"> "/\" &amp;RANDBETWEEN( 1,120) &amp; "/\" &amp;RANDBETWEEN( 1,120) &amp; "/\" &amp;0.1 &amp; "/\" &amp; D276</f>
        <v>/\75/\1/\0.1/\330</v>
      </c>
      <c r="D281" s="80" t="s">
        <v>54</v>
      </c>
      <c r="F281" s="76" t="str">
        <f ca="1">[1]!std_ans($G$281)</f>
        <v>B</v>
      </c>
      <c r="G281" s="79" t="str">
        <f ca="1" xml:space="preserve"> "/\" &amp;RANDBETWEEN( 1,120) &amp; "/\" &amp;RANDBETWEEN( 1,120) &amp; "/\" &amp;0.1 &amp; "/\" &amp; A276</f>
        <v>/\54/\67/\0.1/\2260</v>
      </c>
      <c r="H281" s="80" t="s">
        <v>3829</v>
      </c>
    </row>
    <row r="282" spans="1:8" ht="16" thickTop="1" x14ac:dyDescent="0.35">
      <c r="B282" s="81">
        <f ca="1">[1]!stdnum_A($C$281)</f>
        <v>439.23000000000013</v>
      </c>
      <c r="C282" s="82"/>
      <c r="D282" s="77"/>
      <c r="F282" s="110">
        <f ca="1">[1]!stdnum_A($G$281)</f>
        <v>1867.7685950413222</v>
      </c>
      <c r="G282" s="82"/>
      <c r="H282" s="77"/>
    </row>
    <row r="283" spans="1:8" x14ac:dyDescent="0.35">
      <c r="B283" s="81">
        <f ca="1">[1]!stdnum_B($C$281)</f>
        <v>330</v>
      </c>
      <c r="C283" s="82"/>
      <c r="D283" s="77"/>
      <c r="F283" s="110">
        <f ca="1">[1]!stdnum_B($G$281)</f>
        <v>2260</v>
      </c>
      <c r="G283" s="82"/>
      <c r="H283" s="77"/>
    </row>
    <row r="284" spans="1:8" x14ac:dyDescent="0.35">
      <c r="B284" s="81">
        <f ca="1">[1]!stdnum_C($C$281)</f>
        <v>399.30000000000007</v>
      </c>
      <c r="C284" s="82"/>
      <c r="D284" s="77"/>
      <c r="F284" s="110">
        <f ca="1">[1]!stdnum_C($G$281)</f>
        <v>2486</v>
      </c>
      <c r="G284" s="82"/>
      <c r="H284" s="77"/>
    </row>
    <row r="285" spans="1:8" x14ac:dyDescent="0.35">
      <c r="B285" s="81">
        <f ca="1">[1]!stdnum_D($C$281)</f>
        <v>363.00000000000006</v>
      </c>
      <c r="C285" s="82"/>
      <c r="D285" s="77"/>
      <c r="F285" s="110">
        <f ca="1">[1]!stdnum_D($G$281)</f>
        <v>2054.5454545454545</v>
      </c>
      <c r="G285" s="82"/>
      <c r="H285" s="77"/>
    </row>
    <row r="286" spans="1:8" ht="16" thickBot="1" x14ac:dyDescent="0.4">
      <c r="B286" s="83">
        <f ca="1">[1]!stdnum_E($C$281)</f>
        <v>483.15300000000013</v>
      </c>
      <c r="C286" s="84"/>
      <c r="D286" s="78"/>
      <c r="F286" s="111">
        <f ca="1">[1]!stdnum_E($G$281)</f>
        <v>2734.6000000000004</v>
      </c>
      <c r="G286" s="84"/>
      <c r="H286" s="78"/>
    </row>
    <row r="287" spans="1:8" ht="16" thickTop="1" x14ac:dyDescent="0.35"/>
    <row r="289" spans="1:12" x14ac:dyDescent="0.35">
      <c r="A289" s="88" t="s">
        <v>528</v>
      </c>
    </row>
    <row r="290" spans="1:12" x14ac:dyDescent="0.35">
      <c r="A290" s="8">
        <f ca="1">RANDBETWEEN(90,180)*1000</f>
        <v>147000</v>
      </c>
      <c r="B290" s="2" t="s">
        <v>3270</v>
      </c>
      <c r="E290" s="6" t="s">
        <v>2334</v>
      </c>
      <c r="F290" s="114">
        <f ca="1">(1-(1+A292/12)^(-A293))/(A292/12)</f>
        <v>115.23083982458824</v>
      </c>
    </row>
    <row r="291" spans="1:12" x14ac:dyDescent="0.35">
      <c r="A291" s="2">
        <f ca="1">RANDBETWEEN(3,6)*5</f>
        <v>20</v>
      </c>
      <c r="B291" s="2" t="s">
        <v>1375</v>
      </c>
      <c r="E291" s="6" t="s">
        <v>878</v>
      </c>
      <c r="F291" s="8">
        <f ca="1">A290/F290</f>
        <v>1275.7001530473335</v>
      </c>
    </row>
    <row r="292" spans="1:12" x14ac:dyDescent="0.35">
      <c r="A292" s="9">
        <f ca="1">RANDBETWEEN(75,105)/1000</f>
        <v>8.5000000000000006E-2</v>
      </c>
      <c r="B292" s="2" t="s">
        <v>2066</v>
      </c>
      <c r="E292" s="6" t="s">
        <v>1701</v>
      </c>
      <c r="F292" s="8">
        <f ca="1">F291*(1-(1+A292/12)^(-A293+A294))/(A292/12)</f>
        <v>116287.80120116461</v>
      </c>
    </row>
    <row r="293" spans="1:12" x14ac:dyDescent="0.35">
      <c r="A293" s="2">
        <f ca="1">A291*12</f>
        <v>240</v>
      </c>
      <c r="B293" s="2" t="s">
        <v>1376</v>
      </c>
      <c r="E293" s="6" t="s">
        <v>1277</v>
      </c>
      <c r="F293" s="8">
        <f ca="1">F291*(1-(1+A295/12)^(-A293+A294))/(A295/12)</f>
        <v>110583.50906965576</v>
      </c>
    </row>
    <row r="294" spans="1:12" x14ac:dyDescent="0.35">
      <c r="A294" s="3">
        <f ca="1">RANDBETWEEN(A293/3,A293/2-2)</f>
        <v>93</v>
      </c>
      <c r="B294" s="2" t="s">
        <v>2067</v>
      </c>
      <c r="E294" s="6" t="s">
        <v>493</v>
      </c>
      <c r="F294" s="3">
        <f ca="1">A293-A294</f>
        <v>147</v>
      </c>
    </row>
    <row r="295" spans="1:12" x14ac:dyDescent="0.35">
      <c r="A295" s="9">
        <f ca="1">A292+(IF(RANDBETWEEN(0,1)=0,1,-1))*RANDBETWEEN(9,20)/1000</f>
        <v>9.5000000000000001E-2</v>
      </c>
      <c r="B295" s="2" t="s">
        <v>879</v>
      </c>
    </row>
    <row r="297" spans="1:12" ht="16" thickBot="1" x14ac:dyDescent="0.4">
      <c r="B297" s="88" t="s">
        <v>529</v>
      </c>
      <c r="F297" s="88" t="s">
        <v>531</v>
      </c>
      <c r="J297" s="88" t="s">
        <v>1647</v>
      </c>
    </row>
    <row r="298" spans="1:12" ht="16.5" thickTop="1" thickBot="1" x14ac:dyDescent="0.4">
      <c r="B298" s="76" t="str">
        <f ca="1">[1]!std_ans($C$298)</f>
        <v>A</v>
      </c>
      <c r="C298" s="79" t="str">
        <f ca="1" xml:space="preserve"> "/\" &amp;RANDBETWEEN( 1,120) &amp; "/\" &amp;RANDBETWEEN( 1,120) &amp; "/\" &amp;0.1 &amp; "/\" &amp; F292</f>
        <v>/\14/\106/\0.1/\116287.801201165</v>
      </c>
      <c r="D298" s="80" t="s">
        <v>530</v>
      </c>
      <c r="F298" s="76" t="str">
        <f ca="1">[1]!std_ans($G$298)</f>
        <v>D</v>
      </c>
      <c r="G298" s="79" t="str">
        <f ca="1" xml:space="preserve"> "/\" &amp;RANDBETWEEN( 1,120) &amp; "/\" &amp;RANDBETWEEN( 1,120) &amp; "/\" &amp;0.1 &amp; "/\" &amp; F293</f>
        <v>/\81/\69/\0.1/\110583.509069656</v>
      </c>
      <c r="H298" s="80" t="s">
        <v>1646</v>
      </c>
      <c r="J298" s="76" t="str">
        <f ca="1">[1]!alpha_ans($K$298)</f>
        <v>C</v>
      </c>
      <c r="K298" s="79" t="str">
        <f ca="1" xml:space="preserve"> "/\" &amp;RANDBETWEEN( 1,5) &amp; "/\" &amp;RANDBETWEEN( 1,120) &amp; "/\" &amp;RANDBETWEEN( 1,6) &amp; "/\" &amp;RANDBETWEEN( 1,2) &amp; "/\" &amp; F292 &amp; "/\" &amp; "Mask" &amp; "/\" &amp; "Mask" &amp; "/\" &amp; F293 &amp; "/\" &amp; "Mask"</f>
        <v>/\3/\107/\3/\1/\116287.801201165/\Mask/\Mask/\110583.509069656/\Mask</v>
      </c>
      <c r="L298" s="80" t="s">
        <v>1648</v>
      </c>
    </row>
    <row r="299" spans="1:12" ht="16" thickTop="1" x14ac:dyDescent="0.35">
      <c r="B299" s="110">
        <f ca="1">[1]!stdnum_A($C$298)</f>
        <v>116287.801201165</v>
      </c>
      <c r="C299" s="82"/>
      <c r="D299" s="77"/>
      <c r="F299" s="110">
        <f ca="1">[1]!stdnum_A($G$298)</f>
        <v>91391.32980963304</v>
      </c>
      <c r="G299" s="82"/>
      <c r="H299" s="77"/>
      <c r="J299" s="110">
        <f ca="1">[1]!onepair_A($K$298)</f>
        <v>133730.97138134</v>
      </c>
      <c r="K299" s="136">
        <f ca="1">[1]!onepair_A2($K$298)</f>
        <v>96159.573104048701</v>
      </c>
      <c r="L299" s="77"/>
    </row>
    <row r="300" spans="1:12" x14ac:dyDescent="0.35">
      <c r="B300" s="110">
        <f ca="1">[1]!stdnum_B($C$298)</f>
        <v>105716.18291014999</v>
      </c>
      <c r="C300" s="82"/>
      <c r="D300" s="77"/>
      <c r="F300" s="110">
        <f ca="1">[1]!stdnum_B($G$298)</f>
        <v>133806.04597428377</v>
      </c>
      <c r="G300" s="82"/>
      <c r="H300" s="77"/>
      <c r="J300" s="110">
        <f ca="1">[1]!onepair_B($K$298)</f>
        <v>101119.82713144799</v>
      </c>
      <c r="K300" s="136">
        <f ca="1">[1]!onepair_B2($K$298)</f>
        <v>110583.50906965599</v>
      </c>
      <c r="L300" s="77"/>
    </row>
    <row r="301" spans="1:12" x14ac:dyDescent="0.35">
      <c r="B301" s="110">
        <f ca="1">[1]!stdnum_C($C$298)</f>
        <v>87368.746206735508</v>
      </c>
      <c r="C301" s="82"/>
      <c r="D301" s="77"/>
      <c r="F301" s="110">
        <f ca="1">[1]!stdnum_C($G$298)</f>
        <v>100530.46279059636</v>
      </c>
      <c r="G301" s="82"/>
      <c r="H301" s="77"/>
      <c r="J301" s="110">
        <f ca="1">[1]!onepair_C($K$298)</f>
        <v>116287.801201165</v>
      </c>
      <c r="K301" s="136">
        <f ca="1">[1]!onepair_C2($K$298)</f>
        <v>110583.50906965599</v>
      </c>
      <c r="L301" s="77"/>
    </row>
    <row r="302" spans="1:12" x14ac:dyDescent="0.35">
      <c r="B302" s="110">
        <f ca="1">[1]!stdnum_D($C$298)</f>
        <v>79426.132915214097</v>
      </c>
      <c r="C302" s="82"/>
      <c r="D302" s="77"/>
      <c r="F302" s="110">
        <f ca="1">[1]!stdnum_D($G$298)</f>
        <v>110583.50906965599</v>
      </c>
      <c r="G302" s="82"/>
      <c r="H302" s="77"/>
      <c r="J302" s="110">
        <f ca="1">[1]!onepair_D($K$298)</f>
        <v>116287.801201165</v>
      </c>
      <c r="K302" s="136">
        <f ca="1">[1]!onepair_D2($K$298)</f>
        <v>96159.573104048701</v>
      </c>
      <c r="L302" s="77"/>
    </row>
    <row r="303" spans="1:12" ht="16" thickBot="1" x14ac:dyDescent="0.4">
      <c r="B303" s="111">
        <f ca="1">[1]!stdnum_E($C$298)</f>
        <v>96105.620827409075</v>
      </c>
      <c r="C303" s="84"/>
      <c r="D303" s="78"/>
      <c r="F303" s="111">
        <f ca="1">[1]!stdnum_E($G$298)</f>
        <v>121641.85997662161</v>
      </c>
      <c r="G303" s="84"/>
      <c r="H303" s="78"/>
      <c r="J303" s="111">
        <f ca="1">[1]!onepair_E($K$298)</f>
        <v>101119.82713144799</v>
      </c>
      <c r="K303" s="137">
        <f ca="1">[1]!onepair_E2($K$298)</f>
        <v>96159.573104048701</v>
      </c>
      <c r="L303" s="78"/>
    </row>
    <row r="304" spans="1:12" ht="16" thickTop="1" x14ac:dyDescent="0.35"/>
    <row r="306" spans="1:12" x14ac:dyDescent="0.35">
      <c r="A306" s="88" t="s">
        <v>3631</v>
      </c>
      <c r="H306" s="6" t="s">
        <v>2672</v>
      </c>
      <c r="I306" s="2" t="str">
        <f ca="1">"For every cost more than $" &amp; ROUND(D309,0) &amp; " the actual rate of return is less than the target rate of return"</f>
        <v>For every cost more than $28789 the actual rate of return is less than the target rate of return</v>
      </c>
    </row>
    <row r="307" spans="1:12" x14ac:dyDescent="0.35">
      <c r="A307" s="8">
        <f ca="1">RANDBETWEEN(20,30)*100</f>
        <v>2000</v>
      </c>
      <c r="B307" s="2" t="s">
        <v>701</v>
      </c>
      <c r="D307" s="8">
        <f ca="1">A307*(1-(1+A311/A312)^(-A308))/(A311/A312)</f>
        <v>11333.188513900868</v>
      </c>
      <c r="E307" s="2" t="s">
        <v>1279</v>
      </c>
      <c r="G307" s="11"/>
      <c r="H307" s="6" t="s">
        <v>1118</v>
      </c>
      <c r="I307" s="2" t="str">
        <f ca="1">"For every cost less than $" &amp; ROUND(1.1*D309,0) &amp; " the actual rate of return is less than the target rate of return"</f>
        <v>For every cost less than $31668 the actual rate of return is less than the target rate of return</v>
      </c>
    </row>
    <row r="308" spans="1:12" x14ac:dyDescent="0.35">
      <c r="A308" s="2">
        <f ca="1">RANDBETWEEN(4,10)</f>
        <v>6</v>
      </c>
      <c r="B308" s="2" t="s">
        <v>2190</v>
      </c>
      <c r="D308" s="8">
        <f ca="1">A309*(1-(1+A311/A312)^(-A310))/(A311/A312)*(1+A311/A312)^(-A308)</f>
        <v>17455.935262467592</v>
      </c>
      <c r="E308" s="2" t="s">
        <v>2283</v>
      </c>
      <c r="H308" s="6" t="s">
        <v>1119</v>
      </c>
      <c r="I308" s="2" t="str">
        <f ca="1">"For every cost less than $" &amp; ROUND(D309,0) &amp; " the actual rate of return is more than the target rate of return"</f>
        <v>For every cost less than $28789 the actual rate of return is more than the target rate of return</v>
      </c>
    </row>
    <row r="309" spans="1:12" x14ac:dyDescent="0.35">
      <c r="A309" s="8">
        <f ca="1">RANDBETWEEN(31,40)*100</f>
        <v>3400</v>
      </c>
      <c r="B309" s="2" t="s">
        <v>2233</v>
      </c>
      <c r="D309" s="8">
        <f ca="1">SUM(D307:D308)</f>
        <v>28789.123776368462</v>
      </c>
      <c r="E309" s="2" t="s">
        <v>2284</v>
      </c>
      <c r="G309" s="10"/>
      <c r="H309" s="6" t="s">
        <v>1120</v>
      </c>
      <c r="I309" s="2" t="str">
        <f ca="1">"For every cost more than $" &amp; ROUND(0.9*D309,0) &amp; " the actual rate of return is more than the target rate of return"</f>
        <v>For every cost more than $25910 the actual rate of return is more than the target rate of return</v>
      </c>
    </row>
    <row r="310" spans="1:12" x14ac:dyDescent="0.35">
      <c r="A310" s="2">
        <f ca="1">RANDBETWEEN(4,10)</f>
        <v>6</v>
      </c>
      <c r="B310" s="2" t="s">
        <v>2226</v>
      </c>
      <c r="G310" s="4"/>
      <c r="H310" s="6" t="s">
        <v>2598</v>
      </c>
      <c r="I310" s="2" t="str">
        <f ca="1">"For a cost of $" &amp; ROUND(D309,0) &amp; " the actual rate of return equals the target rate of return"</f>
        <v>For a cost of $28789 the actual rate of return equals the target rate of return</v>
      </c>
    </row>
    <row r="311" spans="1:12" x14ac:dyDescent="0.35">
      <c r="A311" s="14">
        <f ca="1">RANDBETWEEN(120,200)/1000</f>
        <v>0.19900000000000001</v>
      </c>
      <c r="B311" s="2" t="s">
        <v>2995</v>
      </c>
      <c r="D311" s="8">
        <f ca="1">50*RANDBETWEEN(12,35)</f>
        <v>1200</v>
      </c>
      <c r="E311" s="2" t="s">
        <v>959</v>
      </c>
      <c r="H311" s="6" t="s">
        <v>2599</v>
      </c>
      <c r="I311" s="2" t="str">
        <f ca="1">"For a cost of $" &amp; ROUND((1+RANDBETWEEN(8,13)/100)^(IF(RANDBETWEEN(0,1)=0,1,-1))*D309,0) &amp; " the actual rate of return equals the target rate of return"</f>
        <v>For a cost of $31092 the actual rate of return equals the target rate of return</v>
      </c>
    </row>
    <row r="312" spans="1:12" x14ac:dyDescent="0.35">
      <c r="A312" s="2">
        <f ca="1">IF(A314=0,4,12)</f>
        <v>12</v>
      </c>
      <c r="B312" s="2" t="s">
        <v>2234</v>
      </c>
      <c r="C312" s="2" t="str">
        <f ca="1">IF(A314=0,"quarter","month")</f>
        <v>month</v>
      </c>
      <c r="D312" s="8">
        <f ca="1">D309+D311</f>
        <v>29989.123776368462</v>
      </c>
      <c r="E312" s="2" t="s">
        <v>2556</v>
      </c>
      <c r="H312" s="6" t="s">
        <v>2600</v>
      </c>
      <c r="I312" s="2" t="str">
        <f ca="1">"For every cost more than $" &amp; ROUND(1.1*D309,0) &amp; " the actual rate of return is less than the target rate of return"</f>
        <v>For every cost more than $31668 the actual rate of return is less than the target rate of return</v>
      </c>
    </row>
    <row r="313" spans="1:12" x14ac:dyDescent="0.35">
      <c r="C313" s="2" t="str">
        <f ca="1">IF(A314=0,"quarters","months")</f>
        <v>months</v>
      </c>
      <c r="D313" s="14">
        <f ca="1">A312*[1]!irrmixed(D312,A307,A308,A309,A310)</f>
        <v>0.12926153539971466</v>
      </c>
      <c r="E313" s="2" t="s">
        <v>2846</v>
      </c>
      <c r="H313" s="6" t="s">
        <v>2601</v>
      </c>
      <c r="I313" s="2" t="str">
        <f ca="1">"For every cost less than $" &amp; ROUND(0.9*D309,0) &amp; " the actual rate of return is less than the target rate of return"</f>
        <v>For every cost less than $25910 the actual rate of return is less than the target rate of return</v>
      </c>
    </row>
    <row r="314" spans="1:12" x14ac:dyDescent="0.35">
      <c r="A314" s="2">
        <f ca="1">(RANDBETWEEN(0,1))</f>
        <v>1</v>
      </c>
      <c r="C314" s="2" t="str">
        <f ca="1">IF(A314=0,"quarterly","monthly")</f>
        <v>monthly</v>
      </c>
      <c r="H314" s="6" t="s">
        <v>2602</v>
      </c>
      <c r="I314" s="2" t="str">
        <f ca="1">"For every cost less than $" &amp; ROUND(0.9*D309,0) &amp; " the actual rate of return is more than the target rate of return"</f>
        <v>For every cost less than $25910 the actual rate of return is more than the target rate of return</v>
      </c>
    </row>
    <row r="315" spans="1:12" x14ac:dyDescent="0.35">
      <c r="H315" s="6" t="s">
        <v>2603</v>
      </c>
      <c r="I315" s="2" t="str">
        <f ca="1">"For every cost more than $" &amp; ROUND(1.1*D309,0) &amp; " the actual rate of return is more than the target rate of return"</f>
        <v>For every cost more than $31668 the actual rate of return is more than the target rate of return</v>
      </c>
    </row>
    <row r="316" spans="1:12" ht="16" thickBot="1" x14ac:dyDescent="0.4">
      <c r="B316" s="88" t="s">
        <v>2683</v>
      </c>
      <c r="F316" s="88" t="s">
        <v>2397</v>
      </c>
      <c r="J316" s="88" t="s">
        <v>2399</v>
      </c>
    </row>
    <row r="317" spans="1:12" ht="16.5" thickTop="1" thickBot="1" x14ac:dyDescent="0.4">
      <c r="B317" s="76" t="str">
        <f ca="1">[1]!alpha_ans($C$317)</f>
        <v>E</v>
      </c>
      <c r="C317" s="79" t="str">
        <f ca="1" xml:space="preserve"> "/\" &amp;RANDBETWEEN( 1,5) &amp; "/\" &amp;RANDBETWEEN( 1,120) &amp; "/\" &amp;I306 &amp; "/\" &amp; I307 &amp; "/\" &amp; I308 &amp; "/\" &amp; I309 &amp; "/\" &amp; I310 &amp; "/\" &amp; I311 &amp; "/\" &amp; I312 &amp; "/\" &amp; I313 &amp; "/\" &amp; I314 &amp; "/\" &amp; I315</f>
        <v>/\5/\24/\For every cost more than $28789 the actual rate of return is less than the target rate of return/\For every cost less than $31668 the actual rate of return is less than the target rate of return/\For every cost less than $28789 the actual rate of return is more than the target rate of return/\For every cost more than $25910 the actual rate of return is more than the target rate of return/\For a cost of $28789 the actual rate of return equals the target rate of return/\For a cost of $31092 the actual rate of return equals the target rate of return/\For every cost more than $31668 the actual rate of return is less than the target rate of return/\For every cost less than $25910 the actual rate of return is less than the target rate of return/\For every cost less than $25910 the actual rate of return is more than the target rate of return/\For every cost more than $31668 the actual rate of return is more than the target rate of return</v>
      </c>
      <c r="D317" s="80" t="s">
        <v>2684</v>
      </c>
      <c r="F317" s="76" t="str">
        <f ca="1">[1]!std_ans($G$317)</f>
        <v>C</v>
      </c>
      <c r="G317" s="79" t="str">
        <f ca="1" xml:space="preserve"> "/\" &amp;RANDBETWEEN( 1,120) &amp; "/\" &amp;RANDBETWEEN( 1,120) &amp; "/\" &amp;0.1 &amp; "/\" &amp; D309</f>
        <v>/\37/\103/\0.1/\28789.1237763685</v>
      </c>
      <c r="H317" s="80" t="s">
        <v>2398</v>
      </c>
      <c r="J317" s="76" t="str">
        <f ca="1">[1]!std_ans($K$317)</f>
        <v>B</v>
      </c>
      <c r="K317" s="79" t="str">
        <f ca="1" xml:space="preserve"> "/\" &amp;RANDBETWEEN( 1,120) &amp; "/\" &amp;RANDBETWEEN( 1,120) &amp; "/\" &amp;0.1 &amp; "/\" &amp; D313</f>
        <v>/\30/\73/\0.1/\0.129261535399715</v>
      </c>
      <c r="L317" s="80" t="s">
        <v>2400</v>
      </c>
    </row>
    <row r="318" spans="1:12" ht="16" thickTop="1" x14ac:dyDescent="0.35">
      <c r="B318" s="267" t="str">
        <f ca="1">[1]!standardV_A($C$317)</f>
        <v>For every cost less than $31668 the actual rate of return is less than the target rate of return</v>
      </c>
      <c r="C318" s="82"/>
      <c r="D318" s="77"/>
      <c r="F318" s="110">
        <f ca="1">[1]!stdnum_A($G$317)</f>
        <v>21629.694798173172</v>
      </c>
      <c r="G318" s="82"/>
      <c r="H318" s="77"/>
      <c r="J318" s="92">
        <f ca="1">[1]!stdnum_A($K$317)</f>
        <v>9.7116104733069086E-2</v>
      </c>
      <c r="K318" s="82"/>
      <c r="L318" s="77"/>
    </row>
    <row r="319" spans="1:12" x14ac:dyDescent="0.35">
      <c r="B319" s="267" t="str">
        <f ca="1">[1]!standardV_B($C$317)</f>
        <v>For every cost more than $31668 the actual rate of return is more than the target rate of return</v>
      </c>
      <c r="C319" s="82"/>
      <c r="D319" s="77"/>
      <c r="F319" s="110">
        <f ca="1">[1]!stdnum_B($G$317)</f>
        <v>23792.664277990491</v>
      </c>
      <c r="G319" s="82"/>
      <c r="H319" s="77"/>
      <c r="J319" s="92">
        <f ca="1">[1]!stdnum_B($K$317)</f>
        <v>0.12926153539971499</v>
      </c>
      <c r="K319" s="82"/>
      <c r="L319" s="77"/>
    </row>
    <row r="320" spans="1:12" x14ac:dyDescent="0.35">
      <c r="B320" s="267" t="str">
        <f ca="1">[1]!standardV_C($C$317)</f>
        <v>For every cost less than $25910 the actual rate of return is less than the target rate of return</v>
      </c>
      <c r="C320" s="82"/>
      <c r="D320" s="77"/>
      <c r="F320" s="110">
        <f ca="1">[1]!stdnum_C($G$317)</f>
        <v>28789.123776368499</v>
      </c>
      <c r="G320" s="82"/>
      <c r="H320" s="77"/>
      <c r="J320" s="92">
        <f ca="1">[1]!stdnum_C($K$317)</f>
        <v>0.1421876889396865</v>
      </c>
      <c r="K320" s="82"/>
      <c r="L320" s="77"/>
    </row>
    <row r="321" spans="1:12" x14ac:dyDescent="0.35">
      <c r="B321" s="267" t="str">
        <f ca="1">[1]!standardV_D($C$317)</f>
        <v>For a cost of $31092 the actual rate of return equals the target rate of return</v>
      </c>
      <c r="C321" s="82"/>
      <c r="D321" s="77"/>
      <c r="F321" s="110">
        <f ca="1">[1]!stdnum_D($G$317)</f>
        <v>19663.358907430156</v>
      </c>
      <c r="G321" s="82"/>
      <c r="H321" s="77"/>
      <c r="J321" s="92">
        <f ca="1">[1]!stdnum_D($K$317)</f>
        <v>0.11751048672701363</v>
      </c>
      <c r="K321" s="82"/>
      <c r="L321" s="77"/>
    </row>
    <row r="322" spans="1:12" ht="16" thickBot="1" x14ac:dyDescent="0.4">
      <c r="B322" s="268" t="str">
        <f ca="1">[1]!standardV_E($C$317)</f>
        <v>For every cost less than $28789 the actual rate of return is more than the target rate of return</v>
      </c>
      <c r="C322" s="84"/>
      <c r="D322" s="78"/>
      <c r="F322" s="111">
        <f ca="1">[1]!stdnum_E($G$317)</f>
        <v>26171.930705789542</v>
      </c>
      <c r="G322" s="84"/>
      <c r="H322" s="78"/>
      <c r="J322" s="93">
        <f ca="1">[1]!stdnum_E($K$317)</f>
        <v>0.10682771520637602</v>
      </c>
      <c r="K322" s="84"/>
      <c r="L322" s="78"/>
    </row>
    <row r="323" spans="1:12" ht="16" thickTop="1" x14ac:dyDescent="0.35"/>
    <row r="325" spans="1:12" x14ac:dyDescent="0.35">
      <c r="A325" s="88" t="s">
        <v>1264</v>
      </c>
    </row>
    <row r="326" spans="1:12" x14ac:dyDescent="0.35">
      <c r="A326" s="9">
        <f ca="1">RANDBETWEEN(55,105)/1000</f>
        <v>9.7000000000000003E-2</v>
      </c>
      <c r="B326" s="2" t="s">
        <v>1111</v>
      </c>
    </row>
    <row r="327" spans="1:12" x14ac:dyDescent="0.35">
      <c r="A327" s="8">
        <f ca="1">RANDBETWEEN(10,25)*25</f>
        <v>425</v>
      </c>
      <c r="B327" s="2" t="s">
        <v>3839</v>
      </c>
      <c r="F327" s="11" t="s">
        <v>2054</v>
      </c>
    </row>
    <row r="328" spans="1:12" x14ac:dyDescent="0.35">
      <c r="A328" s="8">
        <f ca="1">-PV(A326/12,36,A327)</f>
        <v>13228.945082248802</v>
      </c>
      <c r="B328" s="2" t="s">
        <v>3840</v>
      </c>
      <c r="D328" s="2">
        <v>3</v>
      </c>
      <c r="F328" s="2">
        <f ca="1">IF(F330=0,3,5)</f>
        <v>5</v>
      </c>
      <c r="G328" s="2">
        <f ca="1">IF(F330=0,5,3)</f>
        <v>3</v>
      </c>
      <c r="H328" s="2">
        <v>4</v>
      </c>
    </row>
    <row r="329" spans="1:12" x14ac:dyDescent="0.35">
      <c r="A329" s="33">
        <f ca="1">-PV(A326/12,60,A327)</f>
        <v>20142.434337222265</v>
      </c>
      <c r="B329" s="2" t="s">
        <v>3841</v>
      </c>
      <c r="D329" s="2">
        <v>5</v>
      </c>
      <c r="F329" s="8">
        <f ca="1">IF(F330=0,A328,A329)</f>
        <v>20142.434337222265</v>
      </c>
    </row>
    <row r="330" spans="1:12" ht="16" thickBot="1" x14ac:dyDescent="0.4">
      <c r="F330" s="2">
        <f ca="1">(RANDBETWEEN(0,1))</f>
        <v>1</v>
      </c>
    </row>
    <row r="331" spans="1:12" ht="16.5" thickTop="1" thickBot="1" x14ac:dyDescent="0.4">
      <c r="B331" s="76" t="str">
        <f ca="1">[1]!alpha_ans($C$331)</f>
        <v>D</v>
      </c>
      <c r="C331" s="79" t="str">
        <f ca="1" xml:space="preserve"> "/\" &amp;RANDBETWEEN( 1,5) &amp; "/\" &amp;RANDBETWEEN( 1,120) &amp; "/\" &amp;RANDBETWEEN( 1,6) &amp; "/\" &amp;RANDBETWEEN( 1,2) &amp; "/\" &amp; F328 &amp; "/\" &amp; H328&amp; "/\" &amp; G328 &amp; "/\" &amp; F329 &amp; "/\" &amp; "Mask"</f>
        <v>/\4/\96/\1/\2/\5/\4/\3/\20142.4343372223/\Mask</v>
      </c>
      <c r="D331" s="80" t="s">
        <v>2055</v>
      </c>
    </row>
    <row r="332" spans="1:12" ht="16" thickTop="1" x14ac:dyDescent="0.35">
      <c r="B332" s="116" t="str">
        <f ca="1">[1]!onepair_A($C$331)</f>
        <v>3</v>
      </c>
      <c r="C332" s="136">
        <f ca="1">[1]!onepair_A2($C$331)</f>
        <v>20142.434337222301</v>
      </c>
      <c r="D332" s="77"/>
    </row>
    <row r="333" spans="1:12" x14ac:dyDescent="0.35">
      <c r="B333" s="116" t="str">
        <f ca="1">[1]!onepair_B($C$331)</f>
        <v>3</v>
      </c>
      <c r="C333" s="136">
        <f ca="1">[1]!onepair_B2($C$331)</f>
        <v>23163.799487805602</v>
      </c>
      <c r="D333" s="77"/>
    </row>
    <row r="334" spans="1:12" x14ac:dyDescent="0.35">
      <c r="B334" s="116" t="str">
        <f ca="1">[1]!onepair_C($C$331)</f>
        <v>4</v>
      </c>
      <c r="C334" s="136">
        <f ca="1">[1]!onepair_C2($C$331)</f>
        <v>23163.799487805602</v>
      </c>
      <c r="D334" s="77"/>
    </row>
    <row r="335" spans="1:12" x14ac:dyDescent="0.35">
      <c r="B335" s="116" t="str">
        <f ca="1">[1]!onepair_D($C$331)</f>
        <v>5</v>
      </c>
      <c r="C335" s="136">
        <f ca="1">[1]!onepair_D2($C$331)</f>
        <v>20142.434337222301</v>
      </c>
      <c r="D335" s="77"/>
    </row>
    <row r="336" spans="1:12" ht="16" thickBot="1" x14ac:dyDescent="0.4">
      <c r="B336" s="118" t="str">
        <f ca="1">[1]!onepair_E($C$331)</f>
        <v>5</v>
      </c>
      <c r="C336" s="137">
        <f ca="1">[1]!onepair_E2($C$331)</f>
        <v>23163.799487805602</v>
      </c>
      <c r="D336" s="78"/>
    </row>
    <row r="337" spans="1:7" ht="16" thickTop="1" x14ac:dyDescent="0.35"/>
    <row r="339" spans="1:7" x14ac:dyDescent="0.35">
      <c r="A339" s="88" t="s">
        <v>2159</v>
      </c>
    </row>
    <row r="340" spans="1:7" x14ac:dyDescent="0.35">
      <c r="A340" s="87">
        <f ca="1">RANDBETWEEN(4,6)</f>
        <v>4</v>
      </c>
      <c r="B340" s="87" t="s">
        <v>3271</v>
      </c>
      <c r="F340" s="176">
        <f ca="1">A343*A340*12/2-(A341-A344)</f>
        <v>3211.4035446916041</v>
      </c>
      <c r="G340" s="87" t="s">
        <v>3602</v>
      </c>
    </row>
    <row r="341" spans="1:7" x14ac:dyDescent="0.35">
      <c r="A341" s="177">
        <f ca="1">4000*RANDBETWEEN(3,6)</f>
        <v>24000</v>
      </c>
      <c r="B341" s="87" t="s">
        <v>3270</v>
      </c>
      <c r="F341" s="176">
        <f ca="1">A340*12/2*A343-A344</f>
        <v>1183.4419246871312</v>
      </c>
      <c r="G341" s="87" t="s">
        <v>28</v>
      </c>
    </row>
    <row r="342" spans="1:7" x14ac:dyDescent="0.35">
      <c r="A342" s="316">
        <f ca="1">RANDBETWEEN(50,120)/1000</f>
        <v>8.5000000000000006E-2</v>
      </c>
      <c r="B342" s="87" t="s">
        <v>3272</v>
      </c>
    </row>
    <row r="343" spans="1:7" x14ac:dyDescent="0.35">
      <c r="A343" s="178">
        <f ca="1">ABS(PMT(A342/12,A340*12,A341))</f>
        <v>591.55928061205702</v>
      </c>
      <c r="B343" s="87" t="s">
        <v>3648</v>
      </c>
    </row>
    <row r="344" spans="1:7" x14ac:dyDescent="0.35">
      <c r="A344" s="33">
        <f ca="1">ABS(PV(A342/12,A340*12/2,A343))</f>
        <v>13013.980810002236</v>
      </c>
      <c r="B344" s="87" t="s">
        <v>3601</v>
      </c>
    </row>
    <row r="345" spans="1:7" ht="16" thickBot="1" x14ac:dyDescent="0.4"/>
    <row r="346" spans="1:7" ht="16.5" thickTop="1" thickBot="1" x14ac:dyDescent="0.4">
      <c r="B346" s="76" t="str">
        <f ca="1">[1]!alpha_ans($C$346)</f>
        <v>C</v>
      </c>
      <c r="C346" s="79" t="str">
        <f ca="1" xml:space="preserve"> "/\" &amp;RANDBETWEEN( 1,5) &amp; "/\" &amp;RANDBETWEEN( 1,120) &amp; "/\" &amp;RANDBETWEEN( 1,6) &amp; "/\" &amp;RANDBETWEEN( 1,2) &amp; "/\" &amp; F340 &amp; "/\" &amp; "Mask" &amp; "/\" &amp; "Mask" &amp; "/\" &amp; F341 &amp; "/\" &amp; "Mask"</f>
        <v>/\3/\58/\1/\1/\3211.4035446916/\Mask/\Mask/\1183.44192468713/\Mask</v>
      </c>
      <c r="D346" s="80" t="s">
        <v>2160</v>
      </c>
    </row>
    <row r="347" spans="1:7" ht="16" thickTop="1" x14ac:dyDescent="0.35">
      <c r="B347" s="110">
        <f ca="1">[1]!onepair_A($C$346)</f>
        <v>3693.1140763953399</v>
      </c>
      <c r="C347" s="136">
        <f ca="1">[1]!onepair_A2($C$346)</f>
        <v>1029.0799345105499</v>
      </c>
      <c r="D347" s="77"/>
    </row>
    <row r="348" spans="1:7" x14ac:dyDescent="0.35">
      <c r="B348" s="110">
        <f ca="1">[1]!onepair_B($C$346)</f>
        <v>3693.1140763953399</v>
      </c>
      <c r="C348" s="136">
        <f ca="1">[1]!onepair_B2($C$346)</f>
        <v>1183.44192468713</v>
      </c>
      <c r="D348" s="77"/>
    </row>
    <row r="349" spans="1:7" x14ac:dyDescent="0.35">
      <c r="B349" s="110">
        <f ca="1">[1]!onepair_C($C$346)</f>
        <v>3211.4035446916</v>
      </c>
      <c r="C349" s="136">
        <f ca="1">[1]!onepair_C2($C$346)</f>
        <v>1183.44192468713</v>
      </c>
      <c r="D349" s="77"/>
    </row>
    <row r="350" spans="1:7" x14ac:dyDescent="0.35">
      <c r="B350" s="110">
        <f ca="1">[1]!onepair_D($C$346)</f>
        <v>4247.0811878546401</v>
      </c>
      <c r="C350" s="136">
        <f ca="1">[1]!onepair_D2($C$346)</f>
        <v>1029.0799345105499</v>
      </c>
      <c r="D350" s="77"/>
    </row>
    <row r="351" spans="1:7" ht="16" thickBot="1" x14ac:dyDescent="0.4">
      <c r="B351" s="111">
        <f ca="1">[1]!onepair_E($C$346)</f>
        <v>3211.4035446916</v>
      </c>
      <c r="C351" s="137">
        <f ca="1">[1]!onepair_E2($C$346)</f>
        <v>1029.0799345105499</v>
      </c>
      <c r="D351" s="78"/>
    </row>
    <row r="352" spans="1:7" ht="16" thickTop="1" x14ac:dyDescent="0.35"/>
    <row r="354" spans="1:13" x14ac:dyDescent="0.35">
      <c r="A354" s="120" t="s">
        <v>2161</v>
      </c>
    </row>
    <row r="355" spans="1:13" x14ac:dyDescent="0.35">
      <c r="E355" s="2" t="s">
        <v>2930</v>
      </c>
      <c r="F355" s="10">
        <f ca="1">A356*A358/12</f>
        <v>651.66666666666674</v>
      </c>
    </row>
    <row r="356" spans="1:13" x14ac:dyDescent="0.35">
      <c r="A356" s="8">
        <f ca="1">RANDBETWEEN(100,220)*1000</f>
        <v>115000</v>
      </c>
      <c r="B356" s="2" t="s">
        <v>3270</v>
      </c>
      <c r="E356" s="2" t="s">
        <v>2334</v>
      </c>
      <c r="F356" s="114">
        <f ca="1">(1-(1+A358/12)^(-A359))/(A358/12)</f>
        <v>112.65271141751387</v>
      </c>
      <c r="H356" s="2" t="s">
        <v>2432</v>
      </c>
      <c r="I356" s="2">
        <f ca="1">A359-A360</f>
        <v>119</v>
      </c>
    </row>
    <row r="357" spans="1:13" x14ac:dyDescent="0.35">
      <c r="A357" s="2">
        <f ca="1">5*RANDBETWEEN(3,6)</f>
        <v>15</v>
      </c>
      <c r="B357" s="2" t="s">
        <v>2569</v>
      </c>
      <c r="E357" s="2" t="s">
        <v>878</v>
      </c>
      <c r="F357" s="8">
        <f ca="1">A356/F356</f>
        <v>1020.8365032048505</v>
      </c>
    </row>
    <row r="358" spans="1:13" x14ac:dyDescent="0.35">
      <c r="A358" s="9">
        <f ca="1">RANDBETWEEN(65,105)/1000</f>
        <v>6.8000000000000005E-2</v>
      </c>
      <c r="B358" s="2" t="s">
        <v>2995</v>
      </c>
      <c r="D358" s="2" t="s">
        <v>2297</v>
      </c>
      <c r="F358" s="8"/>
      <c r="H358" s="2" t="s">
        <v>3208</v>
      </c>
      <c r="K358" s="11" t="s">
        <v>2355</v>
      </c>
      <c r="L358" s="142">
        <f ca="1">IF(K361=0,F360,F361)</f>
        <v>518.16674411802501</v>
      </c>
      <c r="M358" s="133" t="str">
        <f ca="1">IF(K361=0,"interest","principal repayment")</f>
        <v>principal repayment</v>
      </c>
    </row>
    <row r="359" spans="1:13" x14ac:dyDescent="0.35">
      <c r="A359" s="2">
        <f ca="1">A357*12</f>
        <v>180</v>
      </c>
      <c r="B359" s="2" t="s">
        <v>3177</v>
      </c>
      <c r="E359" s="2" t="s">
        <v>3209</v>
      </c>
      <c r="F359" s="8">
        <f ca="1">(1-(1+A358/12)^(-A359+A360-1))/(A358/12)*F357</f>
        <v>88706.428074145675</v>
      </c>
      <c r="H359" s="2" t="s">
        <v>1436</v>
      </c>
      <c r="I359" s="10">
        <f ca="1">A356-F363</f>
        <v>26811.738669972343</v>
      </c>
      <c r="K359" s="11" t="s">
        <v>2356</v>
      </c>
      <c r="L359" s="142">
        <f ca="1">IF(K361=0,F364,F365)</f>
        <v>521.10302233469383</v>
      </c>
      <c r="M359" s="133" t="str">
        <f ca="1">IF(K361=0,"interest","principal repayment")</f>
        <v>principal repayment</v>
      </c>
    </row>
    <row r="360" spans="1:13" x14ac:dyDescent="0.35">
      <c r="A360" s="2">
        <f ca="1">RANDBETWEEN(A359/3,A359/2)</f>
        <v>61</v>
      </c>
      <c r="B360" s="2" t="s">
        <v>393</v>
      </c>
      <c r="E360" s="2" t="s">
        <v>2930</v>
      </c>
      <c r="F360" s="8">
        <f ca="1">F359*A358/12</f>
        <v>502.66975908682554</v>
      </c>
      <c r="H360" s="2" t="s">
        <v>1139</v>
      </c>
      <c r="I360" s="8">
        <f ca="1">I361-I359</f>
        <v>35459.288025523536</v>
      </c>
      <c r="M360" s="133" t="str">
        <f ca="1">IF(K361=1,"interest","principal repayment")</f>
        <v>interest</v>
      </c>
    </row>
    <row r="361" spans="1:13" x14ac:dyDescent="0.35">
      <c r="A361" s="2">
        <f ca="1">RANDBETWEEN(7,16)*10</f>
        <v>150</v>
      </c>
      <c r="B361" s="2" t="s">
        <v>394</v>
      </c>
      <c r="E361" s="2" t="s">
        <v>3008</v>
      </c>
      <c r="F361" s="8">
        <f ca="1">F357-F360</f>
        <v>518.16674411802501</v>
      </c>
      <c r="H361" s="2" t="s">
        <v>3009</v>
      </c>
      <c r="I361" s="8">
        <f ca="1">A360*F357</f>
        <v>62271.026695495879</v>
      </c>
      <c r="K361" s="2">
        <f ca="1">(RANDBETWEEN(0,1))</f>
        <v>1</v>
      </c>
    </row>
    <row r="362" spans="1:13" x14ac:dyDescent="0.35">
      <c r="D362" s="2" t="s">
        <v>1437</v>
      </c>
    </row>
    <row r="363" spans="1:13" x14ac:dyDescent="0.35">
      <c r="E363" s="2" t="s">
        <v>3209</v>
      </c>
      <c r="F363" s="8">
        <f ca="1">(1-(1+A358/12)^(-A359+A360))/(A358/12)*F357</f>
        <v>88188.261330027657</v>
      </c>
      <c r="H363" s="2" t="s">
        <v>3166</v>
      </c>
    </row>
    <row r="364" spans="1:13" x14ac:dyDescent="0.35">
      <c r="E364" s="2" t="s">
        <v>2930</v>
      </c>
      <c r="F364" s="8">
        <f ca="1">F363*A358/12</f>
        <v>499.73348087015671</v>
      </c>
      <c r="H364" s="2" t="s">
        <v>3167</v>
      </c>
      <c r="I364" s="29">
        <f ca="1">A358+A361/10000</f>
        <v>8.3000000000000004E-2</v>
      </c>
    </row>
    <row r="365" spans="1:13" x14ac:dyDescent="0.35">
      <c r="E365" s="2" t="s">
        <v>3008</v>
      </c>
      <c r="F365" s="8">
        <f ca="1">F357-F364</f>
        <v>521.10302233469383</v>
      </c>
      <c r="H365" s="2" t="s">
        <v>3209</v>
      </c>
      <c r="I365" s="24">
        <f ca="1">(1-(1+I364/12)^(-A359+A360))/(I364/12)*F357</f>
        <v>82603.392848850897</v>
      </c>
    </row>
    <row r="366" spans="1:13" x14ac:dyDescent="0.35">
      <c r="D366" s="2" t="s">
        <v>3168</v>
      </c>
    </row>
    <row r="367" spans="1:13" x14ac:dyDescent="0.35">
      <c r="E367" s="2" t="s">
        <v>1726</v>
      </c>
      <c r="F367" s="8">
        <f ca="1">F357*A359-A356</f>
        <v>68750.570576873084</v>
      </c>
    </row>
    <row r="368" spans="1:13" x14ac:dyDescent="0.35">
      <c r="E368" s="2" t="s">
        <v>3169</v>
      </c>
      <c r="F368" s="8">
        <f ca="1">F357*A359</f>
        <v>183750.57057687308</v>
      </c>
    </row>
    <row r="370" spans="2:16" ht="16" thickBot="1" x14ac:dyDescent="0.4">
      <c r="B370" s="88" t="s">
        <v>2162</v>
      </c>
      <c r="F370" s="120" t="s">
        <v>2017</v>
      </c>
      <c r="J370" s="88" t="s">
        <v>2019</v>
      </c>
      <c r="N370" s="88" t="s">
        <v>2021</v>
      </c>
    </row>
    <row r="371" spans="2:16" ht="16.5" thickTop="1" thickBot="1" x14ac:dyDescent="0.4">
      <c r="B371" s="76" t="str">
        <f ca="1">[1]!std_ans($C$371)</f>
        <v>C</v>
      </c>
      <c r="C371" s="79" t="str">
        <f ca="1" xml:space="preserve"> "/\" &amp;RANDBETWEEN( 1,120) &amp; "/\" &amp;RANDBETWEEN( 1,120) &amp; "/\" &amp;0.1 &amp; "/\" &amp; F357</f>
        <v>/\38/\45/\0.1/\1020.83650320485</v>
      </c>
      <c r="D371" s="80" t="s">
        <v>2163</v>
      </c>
      <c r="F371" s="76" t="str">
        <f ca="1">[1]!alpha_ans($G$371)</f>
        <v>B</v>
      </c>
      <c r="G371" s="79" t="str">
        <f ca="1" xml:space="preserve"> "/\" &amp;RANDBETWEEN( 1,5) &amp; "/\" &amp;RANDBETWEEN( 1,120) &amp; "/\" &amp;RANDBETWEEN( 1,6) &amp; "/\" &amp;RANDBETWEEN( 1,2) &amp; "/\" &amp; F357 &amp; "/\" &amp; "Mask" &amp; "/\" &amp; "Mask" &amp; "/\" &amp; F355 &amp; "/\" &amp; "Mask"</f>
        <v>/\2/\24/\2/\2/\1020.83650320485/\Mask/\Mask/\651.666666666667/\Mask</v>
      </c>
      <c r="H371" s="80" t="s">
        <v>2018</v>
      </c>
      <c r="J371" s="76" t="str">
        <f ca="1">[1]!std_ans($K$371)</f>
        <v>C</v>
      </c>
      <c r="K371" s="79" t="str">
        <f ca="1" xml:space="preserve"> "/\" &amp;RANDBETWEEN( 1,120) &amp; "/\" &amp;RANDBETWEEN( 1,120) &amp; "/\" &amp;0.1 &amp; "/\" &amp; F367</f>
        <v>/\62/\68/\0.1/\68750.5705768731</v>
      </c>
      <c r="L371" s="80" t="s">
        <v>2020</v>
      </c>
      <c r="N371" s="76" t="str">
        <f ca="1">[1]!std_ans($O$371)</f>
        <v>E</v>
      </c>
      <c r="O371" s="79" t="str">
        <f ca="1" xml:space="preserve"> "/\" &amp;RANDBETWEEN( 1,120) &amp; "/\" &amp;RANDBETWEEN( 1,120) &amp; "/\" &amp;0.1 &amp; "/\" &amp; I360</f>
        <v>/\64/\33/\0.1/\35459.2880255235</v>
      </c>
      <c r="P371" s="80" t="s">
        <v>2022</v>
      </c>
    </row>
    <row r="372" spans="2:16" ht="16" thickTop="1" x14ac:dyDescent="0.35">
      <c r="B372" s="110">
        <f ca="1">[1]!stdnum_A($C$371)</f>
        <v>1358.7333857656558</v>
      </c>
      <c r="C372" s="82"/>
      <c r="D372" s="77"/>
      <c r="F372" s="110">
        <f ca="1">[1]!onepair_A($G$371)</f>
        <v>1020.83650320485</v>
      </c>
      <c r="G372" s="136">
        <f ca="1">[1]!onepair_A2($G$371)</f>
        <v>749.41666666666697</v>
      </c>
      <c r="H372" s="77"/>
      <c r="J372" s="110">
        <f ca="1">[1]!stdnum_A($K$371)</f>
        <v>56818.653369316606</v>
      </c>
      <c r="K372" s="82"/>
      <c r="L372" s="77"/>
      <c r="N372" s="110">
        <f ca="1">[1]!stdnum_A($O$371)</f>
        <v>42905.738510883442</v>
      </c>
      <c r="O372" s="82"/>
      <c r="P372" s="77"/>
    </row>
    <row r="373" spans="2:16" x14ac:dyDescent="0.35">
      <c r="B373" s="110">
        <f ca="1">[1]!stdnum_B($C$371)</f>
        <v>928.03318473168179</v>
      </c>
      <c r="C373" s="82"/>
      <c r="D373" s="77"/>
      <c r="F373" s="110">
        <f ca="1">[1]!onepair_B($G$371)</f>
        <v>1020.83650320485</v>
      </c>
      <c r="G373" s="136">
        <f ca="1">[1]!onepair_B2($G$371)</f>
        <v>651.66666666666697</v>
      </c>
      <c r="H373" s="77"/>
      <c r="J373" s="110">
        <f ca="1">[1]!stdnum_B($K$371)</f>
        <v>75625.627634560413</v>
      </c>
      <c r="K373" s="82"/>
      <c r="L373" s="77"/>
      <c r="N373" s="110">
        <f ca="1">[1]!stdnum_B($O$371)</f>
        <v>32235.716386839544</v>
      </c>
      <c r="O373" s="82"/>
      <c r="P373" s="77"/>
    </row>
    <row r="374" spans="2:16" x14ac:dyDescent="0.35">
      <c r="B374" s="110">
        <f ca="1">[1]!stdnum_C($C$371)</f>
        <v>1020.83650320485</v>
      </c>
      <c r="C374" s="82"/>
      <c r="D374" s="77"/>
      <c r="F374" s="110">
        <f ca="1">[1]!onepair_C($G$371)</f>
        <v>1173.9619786855801</v>
      </c>
      <c r="G374" s="136">
        <f ca="1">[1]!onepair_C2($G$371)</f>
        <v>651.66666666666697</v>
      </c>
      <c r="H374" s="77"/>
      <c r="J374" s="110">
        <f ca="1">[1]!stdnum_C($K$371)</f>
        <v>68750.570576873099</v>
      </c>
      <c r="K374" s="82"/>
      <c r="L374" s="77"/>
      <c r="N374" s="110">
        <f ca="1">[1]!stdnum_C($O$371)</f>
        <v>39005.216828075856</v>
      </c>
      <c r="O374" s="82"/>
      <c r="P374" s="77"/>
    </row>
    <row r="375" spans="2:16" x14ac:dyDescent="0.35">
      <c r="B375" s="110">
        <f ca="1">[1]!stdnum_D($C$371)</f>
        <v>1235.2121688778686</v>
      </c>
      <c r="C375" s="82"/>
      <c r="D375" s="77"/>
      <c r="F375" s="110">
        <f ca="1">[1]!onepair_D($G$371)</f>
        <v>1350.0562754884099</v>
      </c>
      <c r="G375" s="136">
        <f ca="1">[1]!onepair_D2($G$371)</f>
        <v>749.41666666666697</v>
      </c>
      <c r="H375" s="77"/>
      <c r="J375" s="110">
        <f ca="1">[1]!stdnum_D($K$371)</f>
        <v>62500.518706248273</v>
      </c>
      <c r="K375" s="82"/>
      <c r="L375" s="77"/>
      <c r="N375" s="110">
        <f ca="1">[1]!stdnum_D($O$371)</f>
        <v>47196.312361971795</v>
      </c>
      <c r="O375" s="82"/>
      <c r="P375" s="77"/>
    </row>
    <row r="376" spans="2:16" ht="16" thickBot="1" x14ac:dyDescent="0.4">
      <c r="B376" s="111">
        <f ca="1">[1]!stdnum_E($C$371)</f>
        <v>1122.9201535253351</v>
      </c>
      <c r="C376" s="84"/>
      <c r="D376" s="78"/>
      <c r="F376" s="111">
        <f ca="1">[1]!onepair_E($G$371)</f>
        <v>1350.0562754884099</v>
      </c>
      <c r="G376" s="137">
        <f ca="1">[1]!onepair_E2($G$371)</f>
        <v>651.66666666666697</v>
      </c>
      <c r="H376" s="78"/>
      <c r="J376" s="111">
        <f ca="1">[1]!stdnum_E($K$371)</f>
        <v>83188.190398016464</v>
      </c>
      <c r="K376" s="84"/>
      <c r="L376" s="78"/>
      <c r="N376" s="111">
        <f ca="1">[1]!stdnum_E($O$371)</f>
        <v>35459.2880255235</v>
      </c>
      <c r="O376" s="84"/>
      <c r="P376" s="78"/>
    </row>
    <row r="377" spans="2:16" ht="16" thickTop="1" x14ac:dyDescent="0.35"/>
    <row r="378" spans="2:16" ht="16" thickBot="1" x14ac:dyDescent="0.4">
      <c r="B378" s="88" t="s">
        <v>2169</v>
      </c>
      <c r="F378" s="88" t="s">
        <v>2171</v>
      </c>
      <c r="J378" s="88" t="s">
        <v>92</v>
      </c>
      <c r="N378" s="88" t="s">
        <v>2353</v>
      </c>
    </row>
    <row r="379" spans="2:16" ht="16.5" thickTop="1" thickBot="1" x14ac:dyDescent="0.4">
      <c r="B379" s="76" t="str">
        <f ca="1">[1]!std_ans($C$379)</f>
        <v>D</v>
      </c>
      <c r="C379" s="79" t="str">
        <f ca="1" xml:space="preserve"> "/\" &amp;RANDBETWEEN( 1,120) &amp; "/\" &amp;RANDBETWEEN( 1,120) &amp; "/\" &amp;0.1 &amp; "/\" &amp; I359</f>
        <v>/\95/\37/\0.1/\26811.7386699723</v>
      </c>
      <c r="D379" s="80" t="s">
        <v>2170</v>
      </c>
      <c r="F379" s="76" t="str">
        <f ca="1">[1]!std_ans($G$379)</f>
        <v>E</v>
      </c>
      <c r="G379" s="79" t="str">
        <f ca="1" xml:space="preserve"> "/\" &amp;RANDBETWEEN( 1,120) &amp; "/\" &amp;RANDBETWEEN( 1,120) &amp; "/\" &amp;0.1 &amp; "/\" &amp; F360</f>
        <v>/\48/\110/\0.1/\502.669759086826</v>
      </c>
      <c r="H379" s="80" t="s">
        <v>2918</v>
      </c>
      <c r="J379" s="76" t="str">
        <f ca="1">[1]!std_ans($K$379)</f>
        <v>A</v>
      </c>
      <c r="K379" s="79" t="str">
        <f ca="1" xml:space="preserve"> "/\" &amp;RANDBETWEEN( 1,120) &amp; "/\" &amp;RANDBETWEEN( 1,120) &amp; "/\" &amp;0.1 &amp; "/\" &amp; F361</f>
        <v>/\19/\56/\0.1/\518.166744118025</v>
      </c>
      <c r="L379" s="80" t="s">
        <v>93</v>
      </c>
      <c r="N379" s="76" t="str">
        <f ca="1">[1]!std_ans($O$379)</f>
        <v>D</v>
      </c>
      <c r="O379" s="79" t="str">
        <f ca="1" xml:space="preserve"> "/\" &amp;RANDBETWEEN( 1,120) &amp; "/\" &amp;RANDBETWEEN( 1,120) &amp; "/\" &amp;0.1 &amp; "/\" &amp; L358</f>
        <v>/\83/\115/\0.1/\518.166744118025</v>
      </c>
      <c r="P379" s="80" t="s">
        <v>2354</v>
      </c>
    </row>
    <row r="380" spans="2:16" ht="16" thickTop="1" x14ac:dyDescent="0.35">
      <c r="B380" s="110">
        <f ca="1">[1]!stdnum_A($C$379)</f>
        <v>29492.912536969532</v>
      </c>
      <c r="C380" s="82"/>
      <c r="D380" s="77"/>
      <c r="F380" s="110">
        <f ca="1">[1]!stdnum_A($G$379)</f>
        <v>415.42955296431893</v>
      </c>
      <c r="G380" s="82"/>
      <c r="H380" s="77"/>
      <c r="J380" s="110">
        <f ca="1">[1]!stdnum_A($K$379)</f>
        <v>518.16674411802501</v>
      </c>
      <c r="K380" s="82"/>
      <c r="L380" s="77"/>
      <c r="N380" s="110">
        <f ca="1">[1]!stdnum_A($O$379)</f>
        <v>389.30634419085266</v>
      </c>
      <c r="O380" s="82"/>
      <c r="P380" s="77"/>
    </row>
    <row r="381" spans="2:16" x14ac:dyDescent="0.35">
      <c r="B381" s="110">
        <f ca="1">[1]!stdnum_B($C$379)</f>
        <v>35686.424169733138</v>
      </c>
      <c r="C381" s="82"/>
      <c r="D381" s="77"/>
      <c r="F381" s="110">
        <f ca="1">[1]!stdnum_B($G$379)</f>
        <v>377.66322996756264</v>
      </c>
      <c r="G381" s="82"/>
      <c r="H381" s="77"/>
      <c r="J381" s="110">
        <f ca="1">[1]!stdnum_B($K$379)</f>
        <v>569.98341852982753</v>
      </c>
      <c r="K381" s="82"/>
      <c r="L381" s="77"/>
      <c r="N381" s="110">
        <f ca="1">[1]!stdnum_B($O$379)</f>
        <v>471.06067647093181</v>
      </c>
      <c r="O381" s="82"/>
      <c r="P381" s="77"/>
    </row>
    <row r="382" spans="2:16" x14ac:dyDescent="0.35">
      <c r="B382" s="110">
        <f ca="1">[1]!stdnum_C($C$379)</f>
        <v>24374.307881793</v>
      </c>
      <c r="C382" s="82"/>
      <c r="D382" s="77"/>
      <c r="F382" s="110">
        <f ca="1">[1]!stdnum_C($G$379)</f>
        <v>456.97250826075089</v>
      </c>
      <c r="G382" s="82"/>
      <c r="H382" s="77"/>
      <c r="J382" s="110">
        <f ca="1">[1]!stdnum_C($K$379)</f>
        <v>471.06067647093181</v>
      </c>
      <c r="K382" s="82"/>
      <c r="L382" s="77"/>
      <c r="N382" s="110">
        <f ca="1">[1]!stdnum_C($O$379)</f>
        <v>428.23697860993798</v>
      </c>
      <c r="O382" s="82"/>
      <c r="P382" s="77"/>
    </row>
    <row r="383" spans="2:16" x14ac:dyDescent="0.35">
      <c r="B383" s="110">
        <f ca="1">[1]!stdnum_D($C$379)</f>
        <v>26811.738669972299</v>
      </c>
      <c r="C383" s="82"/>
      <c r="D383" s="77"/>
      <c r="F383" s="110">
        <f ca="1">[1]!stdnum_D($G$379)</f>
        <v>343.33020906142059</v>
      </c>
      <c r="G383" s="82"/>
      <c r="H383" s="77"/>
      <c r="J383" s="110">
        <f ca="1">[1]!stdnum_D($K$379)</f>
        <v>428.23697860993798</v>
      </c>
      <c r="K383" s="82"/>
      <c r="L383" s="77"/>
      <c r="N383" s="110">
        <f ca="1">[1]!stdnum_D($O$379)</f>
        <v>518.16674411802501</v>
      </c>
      <c r="O383" s="82"/>
      <c r="P383" s="77"/>
    </row>
    <row r="384" spans="2:16" ht="16" thickBot="1" x14ac:dyDescent="0.4">
      <c r="B384" s="111">
        <f ca="1">[1]!stdnum_E($C$379)</f>
        <v>32442.203790666488</v>
      </c>
      <c r="C384" s="84"/>
      <c r="D384" s="78"/>
      <c r="F384" s="111">
        <f ca="1">[1]!stdnum_E($G$379)</f>
        <v>502.66975908682599</v>
      </c>
      <c r="G384" s="84"/>
      <c r="H384" s="78"/>
      <c r="J384" s="111">
        <f ca="1">[1]!stdnum_E($K$379)</f>
        <v>626.98176038281031</v>
      </c>
      <c r="K384" s="84"/>
      <c r="L384" s="78"/>
      <c r="N384" s="111">
        <f ca="1">[1]!stdnum_E($O$379)</f>
        <v>353.91485835532058</v>
      </c>
      <c r="O384" s="84"/>
      <c r="P384" s="78"/>
    </row>
    <row r="385" spans="1:9" ht="16" thickTop="1" x14ac:dyDescent="0.35"/>
    <row r="386" spans="1:9" ht="16" thickBot="1" x14ac:dyDescent="0.4">
      <c r="B386" s="88" t="s">
        <v>675</v>
      </c>
    </row>
    <row r="387" spans="1:9" ht="16.5" thickTop="1" thickBot="1" x14ac:dyDescent="0.4">
      <c r="B387" s="76" t="str">
        <f ca="1">[1]!alpha_ans($C$387)</f>
        <v>E</v>
      </c>
      <c r="C387" s="79" t="str">
        <f ca="1" xml:space="preserve"> "/\" &amp;RANDBETWEEN( 1,5) &amp; "/\" &amp;RANDBETWEEN( 1,120) &amp; "/\" &amp;RANDBETWEEN( 1,6) &amp; "/\" &amp;RANDBETWEEN( 1,2) &amp; "/\" &amp; L359 &amp; "/\" &amp; "Mask" &amp; "/\" &amp; "Mask" &amp; "/\" &amp; M359 &amp; "/\" &amp; M360</f>
        <v>/\5/\53/\5/\1/\521.103022334694/\Mask/\Mask/\principal repayment/\interest</v>
      </c>
      <c r="D387" s="80" t="s">
        <v>676</v>
      </c>
    </row>
    <row r="388" spans="1:9" ht="16" thickTop="1" x14ac:dyDescent="0.35">
      <c r="B388" s="110">
        <f ca="1">[1]!onepair_A($C$387)</f>
        <v>394.02875034759501</v>
      </c>
      <c r="C388" s="82" t="str">
        <f ca="1">[1]!onepair_A2($C$387)</f>
        <v>interest</v>
      </c>
      <c r="D388" s="77"/>
    </row>
    <row r="389" spans="1:9" x14ac:dyDescent="0.35">
      <c r="B389" s="110">
        <f ca="1">[1]!onepair_B($C$387)</f>
        <v>521.10302233469395</v>
      </c>
      <c r="C389" s="82" t="str">
        <f ca="1">[1]!onepair_B2($C$387)</f>
        <v>interest</v>
      </c>
      <c r="D389" s="77"/>
    </row>
    <row r="390" spans="1:9" x14ac:dyDescent="0.35">
      <c r="B390" s="110">
        <f ca="1">[1]!onepair_C($C$387)</f>
        <v>453.133062899734</v>
      </c>
      <c r="C390" s="82" t="str">
        <f ca="1">[1]!onepair_C2($C$387)</f>
        <v>interest</v>
      </c>
      <c r="D390" s="77"/>
    </row>
    <row r="391" spans="1:9" x14ac:dyDescent="0.35">
      <c r="B391" s="110">
        <f ca="1">[1]!onepair_D($C$387)</f>
        <v>394.02875034759501</v>
      </c>
      <c r="C391" s="82" t="str">
        <f ca="1">[1]!onepair_D2($C$387)</f>
        <v>principal repayment</v>
      </c>
      <c r="D391" s="77"/>
    </row>
    <row r="392" spans="1:9" ht="16" thickBot="1" x14ac:dyDescent="0.4">
      <c r="B392" s="111">
        <f ca="1">[1]!onepair_E($C$387)</f>
        <v>521.10302233469395</v>
      </c>
      <c r="C392" s="84" t="str">
        <f ca="1">[1]!onepair_E2($C$387)</f>
        <v>principal repayment</v>
      </c>
      <c r="D392" s="78"/>
    </row>
    <row r="393" spans="1:9" ht="16" thickTop="1" x14ac:dyDescent="0.35"/>
    <row r="395" spans="1:9" x14ac:dyDescent="0.35">
      <c r="A395" s="120" t="s">
        <v>2364</v>
      </c>
    </row>
    <row r="396" spans="1:9" x14ac:dyDescent="0.35">
      <c r="A396" s="8">
        <f ca="1">RANDBETWEEN(10,30)*12000</f>
        <v>360000</v>
      </c>
      <c r="B396" s="2" t="s">
        <v>3270</v>
      </c>
      <c r="D396" s="8">
        <f ca="1">A396*(1-A400)</f>
        <v>240000.00000000003</v>
      </c>
      <c r="E396" s="2" t="s">
        <v>3468</v>
      </c>
      <c r="I396" s="2" t="s">
        <v>1683</v>
      </c>
    </row>
    <row r="397" spans="1:9" x14ac:dyDescent="0.35">
      <c r="A397" s="2">
        <f ca="1">RANDBETWEEN(3,6)*5</f>
        <v>20</v>
      </c>
      <c r="B397" s="2" t="s">
        <v>1814</v>
      </c>
      <c r="D397" s="174">
        <f ca="1">NPER(A398/12,A402,-D396)</f>
        <v>102.78848716902354</v>
      </c>
      <c r="E397" s="2" t="s">
        <v>186</v>
      </c>
      <c r="I397" s="2">
        <f ca="1">D398*(1+RANDBETWEEN(16,25)/100)^(IF(RANDBETWEEN(0,1)=0,1,-1))</f>
        <v>171.51439103872059</v>
      </c>
    </row>
    <row r="398" spans="1:9" x14ac:dyDescent="0.35">
      <c r="A398" s="9">
        <f ca="1">RANDBETWEEN(75,105)/1000</f>
        <v>0.10100000000000001</v>
      </c>
      <c r="B398" s="2" t="s">
        <v>2066</v>
      </c>
      <c r="D398" s="3">
        <f ca="1">A399-D397</f>
        <v>137.21151283097646</v>
      </c>
      <c r="E398" s="2" t="s">
        <v>2388</v>
      </c>
      <c r="I398" s="297" t="str">
        <f ca="1">INT(I397/12) &amp; " years, " &amp;  ROUND(MOD(I397,12),0) &amp; " months"</f>
        <v>14 years, 4 months</v>
      </c>
    </row>
    <row r="399" spans="1:9" x14ac:dyDescent="0.35">
      <c r="A399" s="2">
        <f ca="1">A397*12</f>
        <v>240</v>
      </c>
      <c r="B399" s="2" t="s">
        <v>1376</v>
      </c>
      <c r="D399" s="297" t="str">
        <f ca="1">INT(D398/12) &amp; " years, " &amp;  ROUND(MOD(D398,12),0) &amp; " months"</f>
        <v>11 years, 5 months</v>
      </c>
      <c r="I399" s="2">
        <f ca="1">(1+RANDBETWEEN(8,13)/100)^(IF(RANDBETWEEN(0,1)=0,1,-1))*CHOOSE(RANDBETWEEN(1,2),D398,D402)</f>
        <v>36.955714540912872</v>
      </c>
    </row>
    <row r="400" spans="1:9" x14ac:dyDescent="0.35">
      <c r="A400" s="298">
        <f ca="1">CHOOSE(RANDBETWEEN(1,3),1/3,1/4,1/5)</f>
        <v>0.33333333333333331</v>
      </c>
      <c r="B400" s="138" t="s">
        <v>2991</v>
      </c>
      <c r="C400" s="297"/>
      <c r="I400" s="297" t="str">
        <f ca="1">INT(I399/12) &amp; " years, " &amp;  ROUND(MOD(I399,12),0) &amp; " months"</f>
        <v>3 years, 1 months</v>
      </c>
    </row>
    <row r="401" spans="1:9" x14ac:dyDescent="0.35">
      <c r="A401" s="114">
        <f ca="1">(1-(1+A398/12)^(-A399))/(A398/12)</f>
        <v>102.91703614984112</v>
      </c>
      <c r="B401" s="2" t="s">
        <v>1815</v>
      </c>
      <c r="D401" s="10">
        <f ca="1">A400*A396</f>
        <v>120000</v>
      </c>
      <c r="E401" s="2" t="s">
        <v>3469</v>
      </c>
    </row>
    <row r="402" spans="1:9" x14ac:dyDescent="0.35">
      <c r="A402" s="8">
        <f ca="1">A396/A401</f>
        <v>3497.9631503948603</v>
      </c>
      <c r="B402" s="2" t="s">
        <v>3648</v>
      </c>
      <c r="D402" s="3">
        <f ca="1">NPER(A398/12,A402,-D401)</f>
        <v>40.651285995004159</v>
      </c>
      <c r="E402" s="2" t="s">
        <v>3555</v>
      </c>
      <c r="I402" s="3">
        <f ca="1">D402*(1+RANDBETWEEN(16,25)/100)^(IF(RANDBETWEEN(0,1)=0,1,-1))</f>
        <v>33.87607166250347</v>
      </c>
    </row>
    <row r="403" spans="1:9" x14ac:dyDescent="0.35">
      <c r="D403" s="3">
        <f ca="1">A399-D402</f>
        <v>199.34871400499583</v>
      </c>
      <c r="E403" s="2" t="s">
        <v>1438</v>
      </c>
      <c r="I403" s="297" t="str">
        <f ca="1">INT(I402/12) &amp; " years, " &amp;  ROUND(MOD(I402,12),0) &amp; " months"</f>
        <v>2 years, 10 months</v>
      </c>
    </row>
    <row r="404" spans="1:9" x14ac:dyDescent="0.35">
      <c r="D404" s="297" t="str">
        <f ca="1">INT(D402/12) &amp; " years, " &amp;  ROUND(MOD(D402,12),0) &amp; " months"</f>
        <v>3 years, 5 months</v>
      </c>
    </row>
    <row r="405" spans="1:9" ht="16" thickBot="1" x14ac:dyDescent="0.4"/>
    <row r="406" spans="1:9" ht="16.5" thickTop="1" thickBot="1" x14ac:dyDescent="0.4">
      <c r="B406" s="76" t="str">
        <f ca="1">[1]!alpha_ans($C$406)</f>
        <v>E</v>
      </c>
      <c r="C406" s="79" t="str">
        <f ca="1" xml:space="preserve"> "/\" &amp;RANDBETWEEN( 1,5) &amp; "/\" &amp;RANDBETWEEN( 1,120) &amp; "/\" &amp;RANDBETWEEN( 1,6) &amp; "/\" &amp;RANDBETWEEN( 1,2) &amp; "/\" &amp; D399 &amp; "/\" &amp; I398 &amp; "/\" &amp; I400 &amp; "/\" &amp; D404 &amp; "/\" &amp; I403</f>
        <v>/\5/\79/\6/\2/\11 years, 5 months/\14 years, 4 months/\3 years, 1 months/\3 years, 5 months/\2 years, 10 months</v>
      </c>
      <c r="D406" s="80" t="s">
        <v>2365</v>
      </c>
    </row>
    <row r="407" spans="1:9" ht="16" thickTop="1" x14ac:dyDescent="0.35">
      <c r="B407" s="81" t="str">
        <f ca="1">[1]!onepair_A($C$406)</f>
        <v>3 years, 1 months</v>
      </c>
      <c r="C407" s="82" t="str">
        <f ca="1">[1]!onepair_A2($C$406)</f>
        <v>3 years, 5 months</v>
      </c>
      <c r="D407" s="77"/>
    </row>
    <row r="408" spans="1:9" x14ac:dyDescent="0.35">
      <c r="B408" s="81" t="str">
        <f ca="1">[1]!onepair_B($C$406)</f>
        <v>14 years, 4 months</v>
      </c>
      <c r="C408" s="82" t="str">
        <f ca="1">[1]!onepair_B2($C$406)</f>
        <v>3 years, 5 months</v>
      </c>
      <c r="D408" s="77"/>
    </row>
    <row r="409" spans="1:9" x14ac:dyDescent="0.35">
      <c r="B409" s="81" t="str">
        <f ca="1">[1]!onepair_C($C$406)</f>
        <v>11 years, 5 months</v>
      </c>
      <c r="C409" s="82" t="str">
        <f ca="1">[1]!onepair_C2($C$406)</f>
        <v>2 years, 10 months</v>
      </c>
      <c r="D409" s="77"/>
    </row>
    <row r="410" spans="1:9" x14ac:dyDescent="0.35">
      <c r="B410" s="81" t="str">
        <f ca="1">[1]!onepair_D($C$406)</f>
        <v>14 years, 4 months</v>
      </c>
      <c r="C410" s="82" t="str">
        <f ca="1">[1]!onepair_D2($C$406)</f>
        <v>2 years, 10 months</v>
      </c>
      <c r="D410" s="77"/>
    </row>
    <row r="411" spans="1:9" ht="16" thickBot="1" x14ac:dyDescent="0.4">
      <c r="B411" s="83" t="str">
        <f ca="1">[1]!onepair_E($C$406)</f>
        <v>11 years, 5 months</v>
      </c>
      <c r="C411" s="84" t="str">
        <f ca="1">[1]!onepair_E2($C$406)</f>
        <v>3 years, 5 months</v>
      </c>
      <c r="D411" s="78"/>
    </row>
    <row r="412" spans="1:9" ht="16" thickTop="1" x14ac:dyDescent="0.35"/>
    <row r="414" spans="1:9" x14ac:dyDescent="0.35">
      <c r="A414" s="88" t="s">
        <v>1358</v>
      </c>
    </row>
    <row r="415" spans="1:9" x14ac:dyDescent="0.35">
      <c r="A415" s="8">
        <f ca="1">RANDBETWEEN(10,30)*5</f>
        <v>120</v>
      </c>
      <c r="B415" s="2" t="s">
        <v>2643</v>
      </c>
      <c r="D415" s="2">
        <f ca="1">A416*12+1</f>
        <v>217</v>
      </c>
      <c r="E415" s="2" t="s">
        <v>2471</v>
      </c>
      <c r="G415" s="10">
        <f ca="1">A415*D415</f>
        <v>26040</v>
      </c>
      <c r="H415" s="2" t="s">
        <v>1112</v>
      </c>
    </row>
    <row r="416" spans="1:9" x14ac:dyDescent="0.35">
      <c r="A416" s="2">
        <f ca="1">RANDBETWEEN(3,6)*3</f>
        <v>18</v>
      </c>
      <c r="B416" s="2" t="s">
        <v>1356</v>
      </c>
      <c r="D416" s="33">
        <f ca="1">FV(A417/12,D415,-A415)</f>
        <v>68746.144721887365</v>
      </c>
      <c r="E416" s="2" t="s">
        <v>2644</v>
      </c>
    </row>
    <row r="417" spans="1:8" x14ac:dyDescent="0.35">
      <c r="A417" s="9">
        <f ca="1">RANDBETWEEN(55,105)/1000</f>
        <v>9.5000000000000001E-2</v>
      </c>
      <c r="B417" s="2" t="s">
        <v>1111</v>
      </c>
      <c r="D417" s="33">
        <f ca="1">D416-D415*A415</f>
        <v>42706.144721887365</v>
      </c>
      <c r="E417" s="2" t="s">
        <v>977</v>
      </c>
    </row>
    <row r="419" spans="1:8" ht="16" thickBot="1" x14ac:dyDescent="0.4"/>
    <row r="420" spans="1:8" ht="16.5" thickTop="1" thickBot="1" x14ac:dyDescent="0.4">
      <c r="B420" s="76" t="str">
        <f ca="1">[1]!std_ans($C$420)</f>
        <v>A</v>
      </c>
      <c r="C420" s="79" t="str">
        <f ca="1" xml:space="preserve"> "/\" &amp;RANDBETWEEN( 1,120) &amp; "/\" &amp;RANDBETWEEN( 1,120) &amp; "/\" &amp;0.1 &amp; "/\" &amp; D416</f>
        <v>/\13/\25/\0.1/\68746.1447218874</v>
      </c>
      <c r="D420" s="80" t="s">
        <v>1357</v>
      </c>
    </row>
    <row r="421" spans="1:8" ht="16" thickTop="1" x14ac:dyDescent="0.35">
      <c r="B421" s="101">
        <f ca="1">[1]!stdnum_A($C$420)</f>
        <v>68746.144721887395</v>
      </c>
      <c r="C421" s="82"/>
      <c r="D421" s="77"/>
    </row>
    <row r="422" spans="1:8" x14ac:dyDescent="0.35">
      <c r="B422" s="101">
        <f ca="1">[1]!stdnum_B($C$420)</f>
        <v>83182.835113483758</v>
      </c>
      <c r="C422" s="82"/>
      <c r="D422" s="77"/>
    </row>
    <row r="423" spans="1:8" x14ac:dyDescent="0.35">
      <c r="B423" s="101">
        <f ca="1">[1]!stdnum_C($C$420)</f>
        <v>62496.495201715814</v>
      </c>
      <c r="C423" s="82"/>
      <c r="D423" s="77"/>
    </row>
    <row r="424" spans="1:8" x14ac:dyDescent="0.35">
      <c r="B424" s="101">
        <f ca="1">[1]!stdnum_D($C$420)</f>
        <v>75620.759194076134</v>
      </c>
      <c r="C424" s="82"/>
      <c r="D424" s="77"/>
    </row>
    <row r="425" spans="1:8" ht="16" thickBot="1" x14ac:dyDescent="0.4">
      <c r="B425" s="102">
        <f ca="1">[1]!stdnum_E($C$420)</f>
        <v>91501.118624832146</v>
      </c>
      <c r="C425" s="84"/>
      <c r="D425" s="78"/>
    </row>
    <row r="426" spans="1:8" ht="16" thickTop="1" x14ac:dyDescent="0.35"/>
    <row r="428" spans="1:8" x14ac:dyDescent="0.35">
      <c r="A428" s="88" t="s">
        <v>1359</v>
      </c>
    </row>
    <row r="429" spans="1:8" x14ac:dyDescent="0.35">
      <c r="A429" s="8">
        <f ca="1">RANDBETWEEN(10,30)*50</f>
        <v>950</v>
      </c>
      <c r="B429" s="2" t="s">
        <v>2643</v>
      </c>
      <c r="D429" s="2">
        <f ca="1">A430*4+1</f>
        <v>61</v>
      </c>
      <c r="E429" s="2" t="s">
        <v>2471</v>
      </c>
      <c r="G429" s="10">
        <f ca="1">A429*D429</f>
        <v>57950</v>
      </c>
      <c r="H429" s="2" t="s">
        <v>1112</v>
      </c>
    </row>
    <row r="430" spans="1:8" x14ac:dyDescent="0.35">
      <c r="A430" s="2">
        <f ca="1">RANDBETWEEN(3,6)*3</f>
        <v>15</v>
      </c>
      <c r="B430" s="2" t="s">
        <v>1356</v>
      </c>
      <c r="D430" s="33">
        <f ca="1">FV(A431/4,D429,-A429)</f>
        <v>90599.636436586094</v>
      </c>
      <c r="E430" s="2" t="s">
        <v>2644</v>
      </c>
    </row>
    <row r="431" spans="1:8" x14ac:dyDescent="0.35">
      <c r="A431" s="9">
        <f ca="1">RANDBETWEEN(55,105)/1000</f>
        <v>5.6000000000000001E-2</v>
      </c>
      <c r="B431" s="2" t="s">
        <v>1111</v>
      </c>
      <c r="D431" s="33">
        <f ca="1">D430-D429*A429</f>
        <v>32649.636436586094</v>
      </c>
      <c r="E431" s="2" t="s">
        <v>977</v>
      </c>
    </row>
    <row r="432" spans="1:8" ht="16" thickBot="1" x14ac:dyDescent="0.4"/>
    <row r="433" spans="1:5" ht="16.5" thickTop="1" thickBot="1" x14ac:dyDescent="0.4">
      <c r="B433" s="76" t="str">
        <f ca="1">[1]!alpha_ans($C$433)</f>
        <v>D</v>
      </c>
      <c r="C433" s="79" t="str">
        <f ca="1" xml:space="preserve"> "/\" &amp;RANDBETWEEN( 1,5) &amp; "/\" &amp;RANDBETWEEN( 1,120) &amp; "/\" &amp;RANDBETWEEN( 1,6) &amp; "/\" &amp;RANDBETWEEN( 1,2) &amp; "/\" &amp; D430 &amp; "/\" &amp; "Mask" &amp; "/\" &amp; "Mask" &amp; "/\" &amp; D431 &amp; "/\" &amp; "Mask"</f>
        <v>/\4/\39/\4/\1/\90599.6364365861/\Mask/\Mask/\32649.6364365861/\Mask</v>
      </c>
      <c r="D433" s="80" t="s">
        <v>1360</v>
      </c>
    </row>
    <row r="434" spans="1:5" ht="16" thickTop="1" x14ac:dyDescent="0.35">
      <c r="B434" s="101">
        <f ca="1">[1]!onepair_A($C$433)</f>
        <v>104189.581902074</v>
      </c>
      <c r="C434" s="142">
        <f ca="1">[1]!onepair_A2($C$433)</f>
        <v>32649.636436586101</v>
      </c>
      <c r="D434" s="77"/>
    </row>
    <row r="435" spans="1:5" x14ac:dyDescent="0.35">
      <c r="B435" s="101">
        <f ca="1">[1]!onepair_B($C$433)</f>
        <v>78782.292553553096</v>
      </c>
      <c r="C435" s="142">
        <f ca="1">[1]!onepair_B2($C$433)</f>
        <v>32649.636436586101</v>
      </c>
      <c r="D435" s="77"/>
    </row>
    <row r="436" spans="1:5" x14ac:dyDescent="0.35">
      <c r="B436" s="101">
        <f ca="1">[1]!onepair_C($C$433)</f>
        <v>104189.581902074</v>
      </c>
      <c r="C436" s="142">
        <f ca="1">[1]!onepair_C2($C$433)</f>
        <v>28390.988205727001</v>
      </c>
      <c r="D436" s="77"/>
    </row>
    <row r="437" spans="1:5" x14ac:dyDescent="0.35">
      <c r="B437" s="101">
        <f ca="1">[1]!onepair_D($C$433)</f>
        <v>90599.636436586094</v>
      </c>
      <c r="C437" s="142">
        <f ca="1">[1]!onepair_D2($C$433)</f>
        <v>32649.636436586101</v>
      </c>
      <c r="D437" s="77"/>
    </row>
    <row r="438" spans="1:5" ht="16" thickBot="1" x14ac:dyDescent="0.4">
      <c r="B438" s="102">
        <f ca="1">[1]!onepair_E($C$433)</f>
        <v>78782.292553553096</v>
      </c>
      <c r="C438" s="320">
        <f ca="1">[1]!onepair_E2($C$433)</f>
        <v>28390.988205727001</v>
      </c>
      <c r="D438" s="78"/>
    </row>
    <row r="439" spans="1:5" ht="16" thickTop="1" x14ac:dyDescent="0.35"/>
    <row r="441" spans="1:5" x14ac:dyDescent="0.35">
      <c r="A441" s="88" t="s">
        <v>722</v>
      </c>
    </row>
    <row r="442" spans="1:5" x14ac:dyDescent="0.35">
      <c r="A442" s="8">
        <f ca="1">RANDBETWEEN(10,30)*50</f>
        <v>750</v>
      </c>
      <c r="B442" s="2" t="s">
        <v>723</v>
      </c>
      <c r="D442" s="33">
        <f ca="1">PV(A444,A443,-A442)</f>
        <v>5704.5596297312741</v>
      </c>
      <c r="E442" s="2" t="s">
        <v>724</v>
      </c>
    </row>
    <row r="443" spans="1:5" x14ac:dyDescent="0.35">
      <c r="A443" s="2">
        <f ca="1">RANDBETWEEN(3,6)*3</f>
        <v>15</v>
      </c>
      <c r="B443" s="2" t="s">
        <v>1356</v>
      </c>
      <c r="D443" s="33">
        <f ca="1">ROUND(D442*MAX(vMask20,1/vMask20),-1)</f>
        <v>7130</v>
      </c>
      <c r="E443" s="2" t="s">
        <v>725</v>
      </c>
    </row>
    <row r="444" spans="1:5" x14ac:dyDescent="0.35">
      <c r="A444" s="9">
        <f ca="1">RANDBETWEEN(55,105)/1000</f>
        <v>0.1</v>
      </c>
      <c r="B444" s="2" t="s">
        <v>1111</v>
      </c>
      <c r="D444" s="33">
        <f ca="1">D443*(1+A444)^A443+FV(A444,A443,A442)</f>
        <v>5954.418177316209</v>
      </c>
      <c r="E444" s="2" t="s">
        <v>726</v>
      </c>
    </row>
    <row r="445" spans="1:5" ht="16" thickBot="1" x14ac:dyDescent="0.4"/>
    <row r="446" spans="1:5" ht="16.5" thickTop="1" thickBot="1" x14ac:dyDescent="0.4">
      <c r="B446" s="76" t="str">
        <f ca="1">[1]!std_ans($C$446)</f>
        <v>C</v>
      </c>
      <c r="C446" s="79" t="str">
        <f ca="1" xml:space="preserve"> "/\" &amp;RANDBETWEEN( 1,120) &amp; "/\" &amp;RANDBETWEEN( 1,120) &amp; "/\" &amp;0.1 &amp; "/\" &amp; D444</f>
        <v>/\103/\48/\0.1/\5954.41817731621</v>
      </c>
      <c r="D446" s="80" t="s">
        <v>727</v>
      </c>
    </row>
    <row r="447" spans="1:5" ht="16" thickTop="1" x14ac:dyDescent="0.35">
      <c r="B447" s="101">
        <f ca="1">[1]!stdnum_A($C$446)</f>
        <v>5413.1074339238266</v>
      </c>
      <c r="C447" s="82"/>
      <c r="D447" s="77"/>
    </row>
    <row r="448" spans="1:5" x14ac:dyDescent="0.35">
      <c r="B448" s="101">
        <f ca="1">[1]!stdnum_B($C$446)</f>
        <v>7925.3305940078781</v>
      </c>
      <c r="C448" s="82"/>
      <c r="D448" s="77"/>
    </row>
    <row r="449" spans="1:5" x14ac:dyDescent="0.35">
      <c r="B449" s="101">
        <f ca="1">[1]!stdnum_C($C$446)</f>
        <v>5954.4181773162099</v>
      </c>
      <c r="C449" s="82"/>
      <c r="D449" s="77"/>
    </row>
    <row r="450" spans="1:5" x14ac:dyDescent="0.35">
      <c r="B450" s="101">
        <f ca="1">[1]!stdnum_D($C$446)</f>
        <v>7204.8459945526156</v>
      </c>
      <c r="C450" s="82"/>
      <c r="D450" s="77"/>
    </row>
    <row r="451" spans="1:5" ht="16" thickBot="1" x14ac:dyDescent="0.4">
      <c r="B451" s="102">
        <f ca="1">[1]!stdnum_E($C$446)</f>
        <v>6549.859995047831</v>
      </c>
      <c r="C451" s="84"/>
      <c r="D451" s="78"/>
    </row>
    <row r="452" spans="1:5" ht="16" thickTop="1" x14ac:dyDescent="0.35"/>
    <row r="454" spans="1:5" x14ac:dyDescent="0.35">
      <c r="A454" s="88" t="s">
        <v>58</v>
      </c>
    </row>
    <row r="455" spans="1:5" x14ac:dyDescent="0.35">
      <c r="A455" s="8">
        <f ca="1">RANDBETWEEN(10,30)*5</f>
        <v>65</v>
      </c>
      <c r="B455" s="2" t="s">
        <v>723</v>
      </c>
      <c r="D455" s="33">
        <f ca="1">PV(A457/12,12*A456,-A455)</f>
        <v>7276.8242795595452</v>
      </c>
      <c r="E455" s="2" t="s">
        <v>724</v>
      </c>
    </row>
    <row r="456" spans="1:5" x14ac:dyDescent="0.35">
      <c r="A456" s="2">
        <f ca="1">RANDBETWEEN(3,6)*3</f>
        <v>15</v>
      </c>
      <c r="B456" s="2" t="s">
        <v>1356</v>
      </c>
      <c r="D456" s="33">
        <f ca="1">ROUND(D455*MAX(vMask20,1/vMask20),-1)</f>
        <v>9100</v>
      </c>
      <c r="E456" s="2" t="s">
        <v>725</v>
      </c>
    </row>
    <row r="457" spans="1:5" x14ac:dyDescent="0.35">
      <c r="A457" s="9">
        <f ca="1">RANDBETWEEN(55,105)/1000</f>
        <v>6.9000000000000006E-2</v>
      </c>
      <c r="B457" s="2" t="s">
        <v>1111</v>
      </c>
      <c r="D457" s="33">
        <f ca="1">D456*(1+A457/12)^(12*A456)+FV(A457/12,12*A456,A455)</f>
        <v>5117.2419611812475</v>
      </c>
      <c r="E457" s="2" t="s">
        <v>726</v>
      </c>
    </row>
    <row r="458" spans="1:5" ht="16" thickBot="1" x14ac:dyDescent="0.4"/>
    <row r="459" spans="1:5" ht="16.5" thickTop="1" thickBot="1" x14ac:dyDescent="0.4">
      <c r="B459" s="76" t="str">
        <f ca="1">[1]!std_ans($C$459)</f>
        <v>B</v>
      </c>
      <c r="C459" s="79" t="str">
        <f ca="1" xml:space="preserve"> "/\" &amp;RANDBETWEEN( 1,120) &amp; "/\" &amp;RANDBETWEEN( 1,120) &amp; "/\" &amp;0.1 &amp; "/\" &amp; D457</f>
        <v>/\53/\82/\0.1/\5117.24196118125</v>
      </c>
      <c r="D459" s="80" t="s">
        <v>57</v>
      </c>
    </row>
    <row r="460" spans="1:5" ht="16" thickTop="1" x14ac:dyDescent="0.35">
      <c r="B460" s="101">
        <f ca="1">[1]!stdnum_A($C$459)</f>
        <v>4652.038146528409</v>
      </c>
      <c r="C460" s="82"/>
      <c r="D460" s="77"/>
    </row>
    <row r="461" spans="1:5" x14ac:dyDescent="0.35">
      <c r="B461" s="101">
        <f ca="1">[1]!stdnum_B($C$459)</f>
        <v>5117.2419611812502</v>
      </c>
      <c r="C461" s="82"/>
      <c r="D461" s="77"/>
    </row>
    <row r="462" spans="1:5" x14ac:dyDescent="0.35">
      <c r="B462" s="101">
        <f ca="1">[1]!stdnum_C($C$459)</f>
        <v>3844.6596252300892</v>
      </c>
      <c r="C462" s="82"/>
      <c r="D462" s="77"/>
    </row>
    <row r="463" spans="1:5" x14ac:dyDescent="0.35">
      <c r="B463" s="101">
        <f ca="1">[1]!stdnum_D($C$459)</f>
        <v>4229.1255877530984</v>
      </c>
      <c r="C463" s="82"/>
      <c r="D463" s="77"/>
    </row>
    <row r="464" spans="1:5" ht="16" thickBot="1" x14ac:dyDescent="0.4">
      <c r="B464" s="102">
        <f ca="1">[1]!stdnum_E($C$459)</f>
        <v>5628.9661572993755</v>
      </c>
      <c r="C464" s="84"/>
      <c r="D464" s="78"/>
    </row>
    <row r="465" spans="1:8" ht="16" thickTop="1" x14ac:dyDescent="0.35"/>
    <row r="467" spans="1:8" x14ac:dyDescent="0.35">
      <c r="A467" s="88" t="s">
        <v>2937</v>
      </c>
    </row>
    <row r="468" spans="1:8" x14ac:dyDescent="0.35">
      <c r="A468" s="8">
        <f ca="1">RANDBETWEEN(10,30)*100</f>
        <v>1700</v>
      </c>
      <c r="B468" s="2" t="s">
        <v>723</v>
      </c>
      <c r="D468" s="33">
        <f ca="1">FV(A470,A469,-A468)</f>
        <v>12377.090754051271</v>
      </c>
      <c r="E468" s="2" t="s">
        <v>1304</v>
      </c>
    </row>
    <row r="469" spans="1:8" x14ac:dyDescent="0.35">
      <c r="A469" s="2">
        <f ca="1">RANDBETWEEN(3,6)*2</f>
        <v>6</v>
      </c>
      <c r="B469" s="2" t="s">
        <v>1356</v>
      </c>
      <c r="D469" s="33">
        <f ca="1">D468-A469*A468</f>
        <v>2177.0907540512708</v>
      </c>
      <c r="E469" s="2" t="s">
        <v>1305</v>
      </c>
    </row>
    <row r="470" spans="1:8" x14ac:dyDescent="0.35">
      <c r="A470" s="9">
        <f ca="1">RANDBETWEEN(55,105)/1000</f>
        <v>7.6999999999999999E-2</v>
      </c>
      <c r="B470" s="2" t="s">
        <v>1111</v>
      </c>
      <c r="D470" s="33"/>
    </row>
    <row r="471" spans="1:8" ht="16" thickBot="1" x14ac:dyDescent="0.4">
      <c r="B471" s="121" t="s">
        <v>1787</v>
      </c>
      <c r="F471" s="121" t="s">
        <v>1789</v>
      </c>
    </row>
    <row r="472" spans="1:8" ht="16.5" thickTop="1" thickBot="1" x14ac:dyDescent="0.4">
      <c r="B472" s="76" t="str">
        <f ca="1">[1]!std_ans($C$472)</f>
        <v>C</v>
      </c>
      <c r="C472" s="79" t="str">
        <f ca="1" xml:space="preserve"> "/\" &amp;RANDBETWEEN( 1,120) &amp; "/\" &amp;RANDBETWEEN( 1,120) &amp; "/\" &amp;0.1 &amp; "/\" &amp; D468</f>
        <v>/\32/\4/\0.1/\12377.0907540513</v>
      </c>
      <c r="D472" s="80" t="s">
        <v>2938</v>
      </c>
      <c r="F472" s="76" t="str">
        <f ca="1">[1]!std_ans($G$472)</f>
        <v>B</v>
      </c>
      <c r="G472" s="79" t="str">
        <f ca="1" xml:space="preserve"> "/\" &amp;RANDBETWEEN( 1,120) &amp; "/\" &amp;RANDBETWEEN( 1,120) &amp; "/\" &amp;0.1 &amp; "/\" &amp; D469</f>
        <v>/\50/\51/\0.1/\2177.09075405127</v>
      </c>
      <c r="H472" s="80" t="s">
        <v>1788</v>
      </c>
    </row>
    <row r="473" spans="1:8" ht="16" thickTop="1" x14ac:dyDescent="0.35">
      <c r="B473" s="101">
        <f ca="1">[1]!stdnum_A($C$472)</f>
        <v>13614.799829456431</v>
      </c>
      <c r="C473" s="82"/>
      <c r="D473" s="77"/>
      <c r="F473" s="101">
        <f ca="1">[1]!stdnum_A($G$472)</f>
        <v>2394.7998294563972</v>
      </c>
      <c r="G473" s="82"/>
      <c r="H473" s="77"/>
    </row>
    <row r="474" spans="1:8" x14ac:dyDescent="0.35">
      <c r="B474" s="101">
        <f ca="1">[1]!stdnum_B($C$472)</f>
        <v>16473.907793642284</v>
      </c>
      <c r="C474" s="82"/>
      <c r="D474" s="77"/>
      <c r="F474" s="101">
        <f ca="1">[1]!stdnum_B($G$472)</f>
        <v>2177.0907540512699</v>
      </c>
      <c r="G474" s="82"/>
      <c r="H474" s="77"/>
    </row>
    <row r="475" spans="1:8" x14ac:dyDescent="0.35">
      <c r="B475" s="101">
        <f ca="1">[1]!stdnum_C($C$472)</f>
        <v>12377.0907540513</v>
      </c>
      <c r="C475" s="82"/>
      <c r="D475" s="77"/>
      <c r="F475" s="101">
        <f ca="1">[1]!stdnum_C($G$472)</f>
        <v>1799.2485570671649</v>
      </c>
      <c r="G475" s="82"/>
      <c r="H475" s="77"/>
    </row>
    <row r="476" spans="1:8" x14ac:dyDescent="0.35">
      <c r="B476" s="101">
        <f ca="1">[1]!stdnum_D($C$472)</f>
        <v>14976.279812402076</v>
      </c>
      <c r="C476" s="82"/>
      <c r="D476" s="77"/>
      <c r="F476" s="101">
        <f ca="1">[1]!stdnum_D($G$472)</f>
        <v>2634.2798124020369</v>
      </c>
      <c r="G476" s="82"/>
      <c r="H476" s="77"/>
    </row>
    <row r="477" spans="1:8" ht="16" thickBot="1" x14ac:dyDescent="0.4">
      <c r="B477" s="102">
        <f ca="1">[1]!stdnum_E($C$472)</f>
        <v>18121.298573006512</v>
      </c>
      <c r="C477" s="84"/>
      <c r="D477" s="78"/>
      <c r="F477" s="102">
        <f ca="1">[1]!stdnum_E($G$472)</f>
        <v>1979.1734127738816</v>
      </c>
      <c r="G477" s="84"/>
      <c r="H477" s="78"/>
    </row>
    <row r="478" spans="1:8" ht="16" thickTop="1" x14ac:dyDescent="0.35"/>
    <row r="480" spans="1:8" x14ac:dyDescent="0.35">
      <c r="A480" s="88" t="s">
        <v>751</v>
      </c>
    </row>
    <row r="481" spans="1:5" x14ac:dyDescent="0.35">
      <c r="A481" s="8">
        <f ca="1">RANDBETWEEN(10,30)*100</f>
        <v>2300</v>
      </c>
      <c r="B481" s="2" t="s">
        <v>3693</v>
      </c>
      <c r="D481" s="33">
        <f ca="1">FV(A483/12,A482+A484-1,,-A481)</f>
        <v>2839.3780980583383</v>
      </c>
      <c r="E481" s="2" t="s">
        <v>749</v>
      </c>
    </row>
    <row r="482" spans="1:5" x14ac:dyDescent="0.35">
      <c r="A482" s="2">
        <f ca="1">RANDBETWEEN(3,6)*2</f>
        <v>8</v>
      </c>
      <c r="B482" s="2" t="s">
        <v>746</v>
      </c>
      <c r="D482" s="33">
        <f ca="1">FV(A483/12,A484,-A485)</f>
        <v>5390.1683360846664</v>
      </c>
      <c r="E482" s="2" t="s">
        <v>750</v>
      </c>
    </row>
    <row r="483" spans="1:5" x14ac:dyDescent="0.35">
      <c r="A483" s="9">
        <f ca="1">RANDBETWEEN(55,105)/1000</f>
        <v>9.4E-2</v>
      </c>
      <c r="B483" s="2" t="s">
        <v>1111</v>
      </c>
      <c r="D483" s="33">
        <f ca="1">D481+D482</f>
        <v>8229.5464341430052</v>
      </c>
      <c r="E483" s="2" t="s">
        <v>2644</v>
      </c>
    </row>
    <row r="484" spans="1:5" x14ac:dyDescent="0.35">
      <c r="A484" s="2">
        <f ca="1">RANDBETWEEN(3,6)*4</f>
        <v>20</v>
      </c>
      <c r="B484" s="2" t="s">
        <v>747</v>
      </c>
    </row>
    <row r="485" spans="1:5" x14ac:dyDescent="0.35">
      <c r="A485" s="8">
        <f ca="1">RANDBETWEEN(10,30)*10</f>
        <v>250</v>
      </c>
      <c r="B485" s="2" t="s">
        <v>382</v>
      </c>
    </row>
    <row r="486" spans="1:5" ht="16" thickBot="1" x14ac:dyDescent="0.4"/>
    <row r="487" spans="1:5" ht="16.5" thickTop="1" thickBot="1" x14ac:dyDescent="0.4">
      <c r="B487" s="76" t="str">
        <f ca="1">[1]!std_ans($C$487)</f>
        <v>A</v>
      </c>
      <c r="C487" s="79" t="str">
        <f ca="1" xml:space="preserve"> "/\" &amp;RANDBETWEEN( 1,120) &amp; "/\" &amp;RANDBETWEEN( 1,120) &amp; "/\" &amp;0.1 &amp; "/\" &amp; D483</f>
        <v>/\18/\15/\0.1/\8229.54643414301</v>
      </c>
      <c r="D487" s="80" t="s">
        <v>752</v>
      </c>
    </row>
    <row r="488" spans="1:5" ht="16" thickTop="1" x14ac:dyDescent="0.35">
      <c r="B488" s="101">
        <f ca="1">[1]!stdnum_A($C$487)</f>
        <v>8229.5464341430106</v>
      </c>
      <c r="C488" s="82"/>
      <c r="D488" s="77"/>
    </row>
    <row r="489" spans="1:5" x14ac:dyDescent="0.35">
      <c r="B489" s="101">
        <f ca="1">[1]!stdnum_B($C$487)</f>
        <v>9052.5010775573119</v>
      </c>
      <c r="C489" s="82"/>
      <c r="D489" s="77"/>
    </row>
    <row r="490" spans="1:5" x14ac:dyDescent="0.35">
      <c r="B490" s="101">
        <f ca="1">[1]!stdnum_C($C$487)</f>
        <v>12048.878934228786</v>
      </c>
      <c r="C490" s="82"/>
      <c r="D490" s="77"/>
    </row>
    <row r="491" spans="1:5" x14ac:dyDescent="0.35">
      <c r="B491" s="101">
        <f ca="1">[1]!stdnum_D($C$487)</f>
        <v>9957.7511853130436</v>
      </c>
      <c r="C491" s="82"/>
      <c r="D491" s="77"/>
    </row>
    <row r="492" spans="1:5" ht="16" thickBot="1" x14ac:dyDescent="0.4">
      <c r="B492" s="102">
        <f ca="1">[1]!stdnum_E($C$487)</f>
        <v>10953.52630384435</v>
      </c>
      <c r="C492" s="84"/>
      <c r="D492" s="78"/>
    </row>
    <row r="493" spans="1:5" ht="16" thickTop="1" x14ac:dyDescent="0.35"/>
    <row r="495" spans="1:5" x14ac:dyDescent="0.35">
      <c r="A495" s="88" t="s">
        <v>753</v>
      </c>
    </row>
    <row r="496" spans="1:5" x14ac:dyDescent="0.35">
      <c r="A496" s="8">
        <f ca="1">RANDBETWEEN(10,30)*100</f>
        <v>2200</v>
      </c>
      <c r="B496" s="2" t="s">
        <v>3693</v>
      </c>
      <c r="D496" s="33">
        <f ca="1">FV(A498/12,A497+A499-1,,-A496)</f>
        <v>2619.1444110562279</v>
      </c>
      <c r="E496" s="2" t="s">
        <v>749</v>
      </c>
    </row>
    <row r="497" spans="1:5" x14ac:dyDescent="0.35">
      <c r="A497" s="2">
        <f ca="1">RANDBETWEEN(3,6)*2</f>
        <v>10</v>
      </c>
      <c r="B497" s="2" t="s">
        <v>746</v>
      </c>
      <c r="D497" s="33">
        <f ca="1">FV(A498/12,A499,-A500)</f>
        <v>2024.168986021768</v>
      </c>
      <c r="E497" s="2" t="s">
        <v>750</v>
      </c>
    </row>
    <row r="498" spans="1:5" x14ac:dyDescent="0.35">
      <c r="A498" s="9">
        <f ca="1">RANDBETWEEN(55,105)/1000</f>
        <v>8.4000000000000005E-2</v>
      </c>
      <c r="B498" s="2" t="s">
        <v>1111</v>
      </c>
      <c r="D498" s="33">
        <f ca="1">IF(ABS(D496-D497)&lt;50,"#RECALCULATE",D496-D497)</f>
        <v>594.97542503445993</v>
      </c>
      <c r="E498" s="2" t="s">
        <v>2644</v>
      </c>
    </row>
    <row r="499" spans="1:5" x14ac:dyDescent="0.35">
      <c r="A499" s="2">
        <f ca="1">RANDBETWEEN(3,6)*4</f>
        <v>16</v>
      </c>
      <c r="B499" s="2" t="s">
        <v>747</v>
      </c>
    </row>
    <row r="500" spans="1:5" x14ac:dyDescent="0.35">
      <c r="A500" s="8">
        <f ca="1">ROUND(-PMT(A498/12,A499,D496*MIN(vMask40,1/vMask40)),-1)</f>
        <v>120</v>
      </c>
      <c r="B500" s="2" t="s">
        <v>748</v>
      </c>
    </row>
    <row r="501" spans="1:5" ht="16" thickBot="1" x14ac:dyDescent="0.4"/>
    <row r="502" spans="1:5" ht="16.5" thickTop="1" thickBot="1" x14ac:dyDescent="0.4">
      <c r="B502" s="76" t="str">
        <f ca="1">[1]!std_ans($C$502)</f>
        <v>C</v>
      </c>
      <c r="C502" s="79" t="str">
        <f ca="1" xml:space="preserve"> "/\" &amp;RANDBETWEEN( 1,120) &amp; "/\" &amp;RANDBETWEEN( 1,120) &amp; "/\" &amp;0.1 &amp; "/\" &amp; D498</f>
        <v>/\68/\105/\0.1/\594.97542503446</v>
      </c>
      <c r="D502" s="80" t="s">
        <v>754</v>
      </c>
    </row>
    <row r="503" spans="1:5" ht="16" thickTop="1" x14ac:dyDescent="0.35">
      <c r="B503" s="101">
        <f ca="1">[1]!stdnum_A($C$502)</f>
        <v>491.7152273012066</v>
      </c>
      <c r="C503" s="82"/>
      <c r="D503" s="77"/>
    </row>
    <row r="504" spans="1:5" x14ac:dyDescent="0.35">
      <c r="B504" s="101">
        <f ca="1">[1]!stdnum_B($C$502)</f>
        <v>540.88675003132732</v>
      </c>
      <c r="C504" s="82"/>
      <c r="D504" s="77"/>
    </row>
    <row r="505" spans="1:5" x14ac:dyDescent="0.35">
      <c r="B505" s="101">
        <f ca="1">[1]!stdnum_C($C$502)</f>
        <v>594.97542503446005</v>
      </c>
      <c r="C505" s="82"/>
      <c r="D505" s="77"/>
    </row>
    <row r="506" spans="1:5" x14ac:dyDescent="0.35">
      <c r="B506" s="101">
        <f ca="1">[1]!stdnum_D($C$502)</f>
        <v>406.37622091008802</v>
      </c>
      <c r="C506" s="82"/>
      <c r="D506" s="77"/>
    </row>
    <row r="507" spans="1:5" ht="16" thickBot="1" x14ac:dyDescent="0.4">
      <c r="B507" s="102">
        <f ca="1">[1]!stdnum_E($C$502)</f>
        <v>447.0138430010968</v>
      </c>
      <c r="C507" s="84"/>
      <c r="D507" s="78"/>
    </row>
    <row r="508" spans="1:5" ht="16" thickTop="1" x14ac:dyDescent="0.35"/>
    <row r="510" spans="1:5" x14ac:dyDescent="0.35">
      <c r="A510" s="88" t="s">
        <v>1487</v>
      </c>
    </row>
    <row r="511" spans="1:5" x14ac:dyDescent="0.35">
      <c r="A511" s="8">
        <f ca="1">RANDBETWEEN(10,30)*100</f>
        <v>1600</v>
      </c>
      <c r="B511" s="2" t="s">
        <v>723</v>
      </c>
      <c r="D511" s="33">
        <f ca="1">PV(A513,D512,-A511)</f>
        <v>9995.0206573708183</v>
      </c>
      <c r="E511" s="2" t="s">
        <v>1485</v>
      </c>
    </row>
    <row r="512" spans="1:5" x14ac:dyDescent="0.35">
      <c r="A512" s="2">
        <f ca="1">RANDBETWEEN(3,6)*2</f>
        <v>8</v>
      </c>
      <c r="B512" s="2" t="s">
        <v>2</v>
      </c>
      <c r="D512" s="2">
        <f ca="1">A512+1</f>
        <v>9</v>
      </c>
      <c r="E512" s="2" t="s">
        <v>2471</v>
      </c>
    </row>
    <row r="513" spans="1:5" x14ac:dyDescent="0.35">
      <c r="A513" s="9">
        <f ca="1">RANDBETWEEN(55,105)/1000</f>
        <v>0.08</v>
      </c>
      <c r="B513" s="2" t="s">
        <v>1111</v>
      </c>
      <c r="D513" s="33"/>
    </row>
    <row r="514" spans="1:5" ht="16" thickBot="1" x14ac:dyDescent="0.4"/>
    <row r="515" spans="1:5" ht="16.5" thickTop="1" thickBot="1" x14ac:dyDescent="0.4">
      <c r="B515" s="76" t="str">
        <f ca="1">[1]!std_ans($C$515)</f>
        <v>E</v>
      </c>
      <c r="C515" s="79" t="str">
        <f ca="1" xml:space="preserve"> "/\" &amp;RANDBETWEEN( 1,120) &amp; "/\" &amp;RANDBETWEEN( 1,120) &amp; "/\" &amp;0.1 &amp; "/\" &amp; D511</f>
        <v>/\58/\39/\0.1/\9995.02065737082</v>
      </c>
      <c r="D515" s="80" t="s">
        <v>1486</v>
      </c>
    </row>
    <row r="516" spans="1:5" ht="16" thickTop="1" x14ac:dyDescent="0.35">
      <c r="B516" s="101">
        <f ca="1">[1]!stdnum_A($C$515)</f>
        <v>10994.522723107902</v>
      </c>
      <c r="C516" s="82"/>
      <c r="D516" s="77"/>
    </row>
    <row r="517" spans="1:5" x14ac:dyDescent="0.35">
      <c r="B517" s="101">
        <f ca="1">[1]!stdnum_B($C$515)</f>
        <v>12093.974995418694</v>
      </c>
      <c r="C517" s="82"/>
      <c r="D517" s="77"/>
    </row>
    <row r="518" spans="1:5" x14ac:dyDescent="0.35">
      <c r="B518" s="101">
        <f ca="1">[1]!stdnum_C($C$515)</f>
        <v>9086.3824157916551</v>
      </c>
      <c r="C518" s="82"/>
      <c r="D518" s="77"/>
    </row>
    <row r="519" spans="1:5" x14ac:dyDescent="0.35">
      <c r="B519" s="101">
        <f ca="1">[1]!stdnum_D($C$515)</f>
        <v>13303.372494960566</v>
      </c>
      <c r="C519" s="82"/>
      <c r="D519" s="77"/>
    </row>
    <row r="520" spans="1:5" ht="16" thickBot="1" x14ac:dyDescent="0.4">
      <c r="B520" s="102">
        <f ca="1">[1]!stdnum_E($C$515)</f>
        <v>9995.0206573708201</v>
      </c>
      <c r="C520" s="84"/>
      <c r="D520" s="78"/>
    </row>
    <row r="521" spans="1:5" ht="16" thickTop="1" x14ac:dyDescent="0.35"/>
    <row r="523" spans="1:5" x14ac:dyDescent="0.35">
      <c r="A523" s="88" t="s">
        <v>1488</v>
      </c>
    </row>
    <row r="524" spans="1:5" x14ac:dyDescent="0.35">
      <c r="A524" s="8">
        <f ca="1">RANDBETWEEN(10,30)*50</f>
        <v>700</v>
      </c>
      <c r="B524" s="2" t="s">
        <v>2643</v>
      </c>
      <c r="D524" s="33">
        <f ca="1">FV(C526,C525,-A524,-D525)</f>
        <v>28875.300811046451</v>
      </c>
      <c r="E524" s="2" t="s">
        <v>2644</v>
      </c>
    </row>
    <row r="525" spans="1:5" x14ac:dyDescent="0.35">
      <c r="A525" s="2">
        <f ca="1">RANDBETWEEN(3,6)</f>
        <v>4</v>
      </c>
      <c r="B525" s="2" t="s">
        <v>2471</v>
      </c>
      <c r="C525" s="2">
        <f ca="1">A525*4</f>
        <v>16</v>
      </c>
      <c r="D525" s="33">
        <f ca="1">RANDBETWEEN(100,300)*63</f>
        <v>11340</v>
      </c>
      <c r="E525" s="2" t="s">
        <v>1485</v>
      </c>
    </row>
    <row r="526" spans="1:5" x14ac:dyDescent="0.35">
      <c r="A526" s="9">
        <f ca="1">RANDBETWEEN(55,105)/1000</f>
        <v>8.3000000000000004E-2</v>
      </c>
      <c r="B526" s="2" t="s">
        <v>1111</v>
      </c>
      <c r="C526" s="29">
        <f ca="1">A526/4</f>
        <v>2.0750000000000001E-2</v>
      </c>
    </row>
    <row r="527" spans="1:5" ht="16" thickBot="1" x14ac:dyDescent="0.4"/>
    <row r="528" spans="1:5" ht="16.5" thickTop="1" thickBot="1" x14ac:dyDescent="0.4">
      <c r="B528" s="76" t="str">
        <f ca="1">[1]!std_ans($C$528)</f>
        <v>C</v>
      </c>
      <c r="C528" s="79" t="str">
        <f ca="1" xml:space="preserve"> "/\" &amp;RANDBETWEEN( 1,120) &amp; "/\" &amp;RANDBETWEEN( 1,120) &amp; "/\" &amp;0.1 &amp; "/\" &amp; D525</f>
        <v>/\103/\26/\0.1/\11340</v>
      </c>
      <c r="D528" s="80" t="s">
        <v>1489</v>
      </c>
    </row>
    <row r="529" spans="1:5" ht="16" thickTop="1" x14ac:dyDescent="0.35">
      <c r="B529" s="101">
        <f ca="1">[1]!stdnum_A($C$528)</f>
        <v>13721.400000000001</v>
      </c>
      <c r="C529" s="82"/>
      <c r="D529" s="77"/>
    </row>
    <row r="530" spans="1:5" x14ac:dyDescent="0.35">
      <c r="B530" s="101">
        <f ca="1">[1]!stdnum_B($C$528)</f>
        <v>10309.090909090908</v>
      </c>
      <c r="C530" s="82"/>
      <c r="D530" s="77"/>
    </row>
    <row r="531" spans="1:5" x14ac:dyDescent="0.35">
      <c r="B531" s="101">
        <f ca="1">[1]!stdnum_C($C$528)</f>
        <v>11340</v>
      </c>
      <c r="C531" s="82"/>
      <c r="D531" s="77"/>
    </row>
    <row r="532" spans="1:5" x14ac:dyDescent="0.35">
      <c r="B532" s="101">
        <f ca="1">[1]!stdnum_D($C$528)</f>
        <v>12474.000000000002</v>
      </c>
      <c r="C532" s="82"/>
      <c r="D532" s="77"/>
    </row>
    <row r="533" spans="1:5" ht="16" thickBot="1" x14ac:dyDescent="0.4">
      <c r="B533" s="102">
        <f ca="1">[1]!stdnum_E($C$528)</f>
        <v>15093.540000000005</v>
      </c>
      <c r="C533" s="84"/>
      <c r="D533" s="78"/>
    </row>
    <row r="534" spans="1:5" ht="16" thickTop="1" x14ac:dyDescent="0.35"/>
    <row r="536" spans="1:5" x14ac:dyDescent="0.35">
      <c r="A536" s="88" t="s">
        <v>1490</v>
      </c>
    </row>
    <row r="537" spans="1:5" x14ac:dyDescent="0.35">
      <c r="A537" s="8">
        <f ca="1">RANDBETWEEN(10,30)*50</f>
        <v>550</v>
      </c>
      <c r="B537" s="2" t="s">
        <v>723</v>
      </c>
      <c r="D537" s="33">
        <f ca="1">RANDBETWEEN(100,300)*63</f>
        <v>13104</v>
      </c>
      <c r="E537" s="2" t="s">
        <v>2644</v>
      </c>
    </row>
    <row r="538" spans="1:5" x14ac:dyDescent="0.35">
      <c r="A538" s="2">
        <f ca="1">RANDBETWEEN(3,6)</f>
        <v>6</v>
      </c>
      <c r="B538" s="2" t="s">
        <v>2471</v>
      </c>
      <c r="C538" s="2">
        <f ca="1">A538*4</f>
        <v>24</v>
      </c>
      <c r="D538" s="33">
        <f ca="1">PV(C539,C538,-A537,-D537)</f>
        <v>19508.832392725639</v>
      </c>
      <c r="E538" s="2" t="s">
        <v>1485</v>
      </c>
    </row>
    <row r="539" spans="1:5" x14ac:dyDescent="0.35">
      <c r="A539" s="9">
        <f ca="1">RANDBETWEEN(55,105)/1000</f>
        <v>6.8000000000000005E-2</v>
      </c>
      <c r="B539" s="2" t="s">
        <v>1111</v>
      </c>
      <c r="C539" s="29">
        <f ca="1">A539/4</f>
        <v>1.7000000000000001E-2</v>
      </c>
    </row>
    <row r="540" spans="1:5" ht="16" thickBot="1" x14ac:dyDescent="0.4"/>
    <row r="541" spans="1:5" ht="16.5" thickTop="1" thickBot="1" x14ac:dyDescent="0.4">
      <c r="B541" s="76" t="str">
        <f ca="1">[1]!std_ans($C$541)</f>
        <v>A</v>
      </c>
      <c r="C541" s="79" t="str">
        <f ca="1" xml:space="preserve"> "/\" &amp;RANDBETWEEN( 1,120) &amp; "/\" &amp;RANDBETWEEN( 1,120) &amp; "/\" &amp;0.1 &amp; "/\" &amp; D538</f>
        <v>/\24/\119/\0.1/\19508.8323927256</v>
      </c>
      <c r="D541" s="80" t="s">
        <v>1491</v>
      </c>
    </row>
    <row r="542" spans="1:5" ht="16" thickTop="1" x14ac:dyDescent="0.35">
      <c r="B542" s="101">
        <f ca="1">[1]!stdnum_A($C$541)</f>
        <v>19508.832392725599</v>
      </c>
      <c r="C542" s="82"/>
      <c r="D542" s="77"/>
    </row>
    <row r="543" spans="1:5" x14ac:dyDescent="0.35">
      <c r="B543" s="101">
        <f ca="1">[1]!stdnum_B($C$541)</f>
        <v>14657.274524962881</v>
      </c>
      <c r="C543" s="82"/>
      <c r="D543" s="77"/>
    </row>
    <row r="544" spans="1:5" x14ac:dyDescent="0.35">
      <c r="B544" s="101">
        <f ca="1">[1]!stdnum_C($C$541)</f>
        <v>13324.795022693528</v>
      </c>
      <c r="C544" s="82"/>
      <c r="D544" s="77"/>
    </row>
    <row r="545" spans="1:5" x14ac:dyDescent="0.35">
      <c r="B545" s="101">
        <f ca="1">[1]!stdnum_D($C$541)</f>
        <v>16123.001977459171</v>
      </c>
      <c r="C545" s="82"/>
      <c r="D545" s="77"/>
    </row>
    <row r="546" spans="1:5" ht="16" thickBot="1" x14ac:dyDescent="0.4">
      <c r="B546" s="102">
        <f ca="1">[1]!stdnum_E($C$541)</f>
        <v>17735.302175205088</v>
      </c>
      <c r="C546" s="84"/>
      <c r="D546" s="78"/>
    </row>
    <row r="547" spans="1:5" ht="16" thickTop="1" x14ac:dyDescent="0.35"/>
    <row r="549" spans="1:5" x14ac:dyDescent="0.35">
      <c r="A549" s="88" t="s">
        <v>1371</v>
      </c>
    </row>
    <row r="550" spans="1:5" x14ac:dyDescent="0.35">
      <c r="A550" s="8">
        <f ca="1">RANDBETWEEN(10,30)*100</f>
        <v>3000</v>
      </c>
      <c r="B550" s="2" t="s">
        <v>1372</v>
      </c>
      <c r="D550" s="33">
        <f ca="1">PV(A552,A551,-A550)</f>
        <v>12951.710199076193</v>
      </c>
      <c r="E550" s="2" t="s">
        <v>1485</v>
      </c>
    </row>
    <row r="551" spans="1:5" x14ac:dyDescent="0.35">
      <c r="A551" s="2">
        <f ca="1">RANDBETWEEN(3,9)</f>
        <v>6</v>
      </c>
      <c r="B551" s="2" t="s">
        <v>2471</v>
      </c>
      <c r="D551" s="33"/>
    </row>
    <row r="552" spans="1:5" x14ac:dyDescent="0.35">
      <c r="A552" s="9">
        <f ca="1">RANDBETWEEN(55,105)/1000</f>
        <v>0.10299999999999999</v>
      </c>
      <c r="B552" s="2" t="s">
        <v>1111</v>
      </c>
      <c r="C552" s="29"/>
    </row>
    <row r="553" spans="1:5" ht="16" thickBot="1" x14ac:dyDescent="0.4"/>
    <row r="554" spans="1:5" ht="16.5" thickTop="1" thickBot="1" x14ac:dyDescent="0.4">
      <c r="B554" s="76" t="str">
        <f ca="1">[1]!std_ans($C$554)</f>
        <v>E</v>
      </c>
      <c r="C554" s="79" t="str">
        <f ca="1" xml:space="preserve"> "/\" &amp;RANDBETWEEN( 1,120) &amp; "/\" &amp;RANDBETWEEN( 1,120) &amp; "/\" &amp;0.1 &amp; "/\" &amp; D550</f>
        <v>/\112/\9/\0.1/\12951.7101990762</v>
      </c>
      <c r="D554" s="80" t="s">
        <v>1373</v>
      </c>
    </row>
    <row r="555" spans="1:5" ht="16" thickTop="1" x14ac:dyDescent="0.35">
      <c r="B555" s="101">
        <f ca="1">[1]!stdnum_A($C$554)</f>
        <v>18962.598902467471</v>
      </c>
      <c r="C555" s="82"/>
      <c r="D555" s="77"/>
    </row>
    <row r="556" spans="1:5" x14ac:dyDescent="0.35">
      <c r="B556" s="101">
        <f ca="1">[1]!stdnum_B($C$554)</f>
        <v>17238.726274970428</v>
      </c>
      <c r="C556" s="82"/>
      <c r="D556" s="77"/>
    </row>
    <row r="557" spans="1:5" x14ac:dyDescent="0.35">
      <c r="B557" s="101">
        <f ca="1">[1]!stdnum_C($C$554)</f>
        <v>15671.569340882204</v>
      </c>
      <c r="C557" s="82"/>
      <c r="D557" s="77"/>
    </row>
    <row r="558" spans="1:5" x14ac:dyDescent="0.35">
      <c r="B558" s="101">
        <f ca="1">[1]!stdnum_D($C$554)</f>
        <v>14246.881218983821</v>
      </c>
      <c r="C558" s="82"/>
      <c r="D558" s="77"/>
    </row>
    <row r="559" spans="1:5" ht="16" thickBot="1" x14ac:dyDescent="0.4">
      <c r="B559" s="102">
        <f ca="1">[1]!stdnum_E($C$554)</f>
        <v>12951.7101990762</v>
      </c>
      <c r="C559" s="84"/>
      <c r="D559" s="78"/>
    </row>
    <row r="560" spans="1:5" ht="16" thickTop="1" x14ac:dyDescent="0.35"/>
    <row r="562" spans="1:8" x14ac:dyDescent="0.35">
      <c r="A562" s="88" t="s">
        <v>31</v>
      </c>
    </row>
    <row r="563" spans="1:8" x14ac:dyDescent="0.35">
      <c r="A563" s="8">
        <f ca="1">RANDBETWEEN(10,30)*100</f>
        <v>2700</v>
      </c>
      <c r="B563" s="2" t="s">
        <v>1372</v>
      </c>
      <c r="D563" s="33">
        <f ca="1">PV(A565,A564,-A563,-D564)</f>
        <v>25882.884514898844</v>
      </c>
      <c r="E563" s="2" t="s">
        <v>1485</v>
      </c>
      <c r="F563" s="33">
        <f ca="1">PV(A565,A564,-A563)</f>
        <v>14450.167688291349</v>
      </c>
    </row>
    <row r="564" spans="1:8" x14ac:dyDescent="0.35">
      <c r="A564" s="2">
        <f ca="1">RANDBETWEEN(3,9)</f>
        <v>7</v>
      </c>
      <c r="B564" s="2" t="s">
        <v>2471</v>
      </c>
      <c r="D564" s="33">
        <f ca="1">ROUND((1+RANDBETWEEN(26,35)/100)^(IF(RANDBETWEEN(0,1)=0,1,-1))*F563,-2)</f>
        <v>18600</v>
      </c>
      <c r="E564" s="2" t="s">
        <v>2644</v>
      </c>
    </row>
    <row r="565" spans="1:8" x14ac:dyDescent="0.35">
      <c r="A565" s="9">
        <f ca="1">RANDBETWEEN(55,105)/1000</f>
        <v>7.1999999999999995E-2</v>
      </c>
      <c r="B565" s="2" t="s">
        <v>1111</v>
      </c>
      <c r="C565" s="29"/>
    </row>
    <row r="566" spans="1:8" ht="16" thickBot="1" x14ac:dyDescent="0.4"/>
    <row r="567" spans="1:8" ht="16.5" thickTop="1" thickBot="1" x14ac:dyDescent="0.4">
      <c r="B567" s="76" t="str">
        <f ca="1">[1]!std_ans($C$567)</f>
        <v>D</v>
      </c>
      <c r="C567" s="79" t="str">
        <f ca="1" xml:space="preserve"> "/\" &amp;RANDBETWEEN( 1,120) &amp; "/\" &amp;RANDBETWEEN( 1,120) &amp; "/\" &amp;0.1 &amp; "/\" &amp; D563</f>
        <v>/\117/\1/\0.1/\25882.8845148988</v>
      </c>
      <c r="D567" s="80" t="s">
        <v>2282</v>
      </c>
    </row>
    <row r="568" spans="1:8" ht="16" thickTop="1" x14ac:dyDescent="0.35">
      <c r="B568" s="101">
        <f ca="1">[1]!stdnum_A($C$567)</f>
        <v>37895.131218263341</v>
      </c>
      <c r="C568" s="82"/>
      <c r="D568" s="77"/>
    </row>
    <row r="569" spans="1:8" x14ac:dyDescent="0.35">
      <c r="B569" s="101">
        <f ca="1">[1]!stdnum_B($C$567)</f>
        <v>34450.119289330316</v>
      </c>
      <c r="C569" s="82"/>
      <c r="D569" s="77"/>
    </row>
    <row r="570" spans="1:8" x14ac:dyDescent="0.35">
      <c r="B570" s="101">
        <f ca="1">[1]!stdnum_C($C$567)</f>
        <v>28471.172966388684</v>
      </c>
      <c r="C570" s="82"/>
      <c r="D570" s="77"/>
    </row>
    <row r="571" spans="1:8" x14ac:dyDescent="0.35">
      <c r="B571" s="101">
        <f ca="1">[1]!stdnum_D($C$567)</f>
        <v>25882.8845148988</v>
      </c>
      <c r="C571" s="82"/>
      <c r="D571" s="77"/>
    </row>
    <row r="572" spans="1:8" ht="16" thickBot="1" x14ac:dyDescent="0.4">
      <c r="B572" s="102">
        <f ca="1">[1]!stdnum_E($C$567)</f>
        <v>31318.290263027553</v>
      </c>
      <c r="C572" s="84"/>
      <c r="D572" s="78"/>
    </row>
    <row r="573" spans="1:8" ht="16" thickTop="1" x14ac:dyDescent="0.35"/>
    <row r="575" spans="1:8" x14ac:dyDescent="0.35">
      <c r="A575" s="88" t="s">
        <v>2241</v>
      </c>
    </row>
    <row r="576" spans="1:8" x14ac:dyDescent="0.35">
      <c r="A576" s="8">
        <f ca="1">RANDBETWEEN(10,30)*100</f>
        <v>2000</v>
      </c>
      <c r="B576" s="2" t="s">
        <v>1372</v>
      </c>
      <c r="D576" s="33">
        <f ca="1">PV(C578,A577,-A576,-D577)</f>
        <v>81810.821913556952</v>
      </c>
      <c r="E576" s="2" t="s">
        <v>1485</v>
      </c>
      <c r="F576" s="33"/>
      <c r="G576" s="33">
        <f ca="1">D576+D578</f>
        <v>88910.821913556952</v>
      </c>
      <c r="H576" s="2" t="s">
        <v>2242</v>
      </c>
    </row>
    <row r="577" spans="1:8" x14ac:dyDescent="0.35">
      <c r="A577" s="2">
        <f ca="1">RANDBETWEEN(3,9)*5</f>
        <v>15</v>
      </c>
      <c r="B577" s="2" t="s">
        <v>2471</v>
      </c>
      <c r="D577" s="8">
        <f ca="1">ROUND(A576*(1+RANDBETWEEN(16,25)/100)^(IF(RANDBETWEEN(0,1)=0,1,-1))*30,-2)</f>
        <v>70200</v>
      </c>
      <c r="E577" s="2" t="s">
        <v>2644</v>
      </c>
      <c r="G577" s="9">
        <f ca="1">12*RATE(A577,-A576,G576,-D577)</f>
        <v>0.11233572697328742</v>
      </c>
      <c r="H577" s="2" t="s">
        <v>1856</v>
      </c>
    </row>
    <row r="578" spans="1:8" x14ac:dyDescent="0.35">
      <c r="A578" s="9">
        <f ca="1">RANDBETWEEN(145,215)/1000</f>
        <v>0.192</v>
      </c>
      <c r="B578" s="2" t="s">
        <v>1111</v>
      </c>
      <c r="C578" s="9">
        <f ca="1">A578/12</f>
        <v>1.6E-2</v>
      </c>
      <c r="D578" s="24">
        <f ca="1">ROUND(A576*3*(1+RANDBETWEEN(16,25)/100)^(IF(RANDBETWEEN(0,1)=0,1,-1)),-2)</f>
        <v>7100</v>
      </c>
      <c r="E578" s="2" t="s">
        <v>3816</v>
      </c>
    </row>
    <row r="579" spans="1:8" ht="16" thickBot="1" x14ac:dyDescent="0.4">
      <c r="C579" s="88" t="s">
        <v>3465</v>
      </c>
      <c r="G579" s="88" t="s">
        <v>3466</v>
      </c>
    </row>
    <row r="580" spans="1:8" ht="16.5" thickTop="1" thickBot="1" x14ac:dyDescent="0.4">
      <c r="B580" s="76" t="str">
        <f ca="1">[1]!std_ans($C$580)</f>
        <v>D</v>
      </c>
      <c r="C580" s="79" t="str">
        <f ca="1" xml:space="preserve"> "/\" &amp;RANDBETWEEN( 1,120) &amp; "/\" &amp;RANDBETWEEN( 1,120) &amp; "/\" &amp;0.1 &amp; "/\" &amp; D576</f>
        <v>/\119/\16/\0.1/\81810.821913557</v>
      </c>
      <c r="D580" s="80" t="s">
        <v>2243</v>
      </c>
      <c r="F580" s="76" t="str">
        <f ca="1">[1]!std_ans($G$580)</f>
        <v>C</v>
      </c>
      <c r="G580" s="79" t="str">
        <f ca="1" xml:space="preserve"> "/\" &amp;RANDBETWEEN( 1,120) &amp; "/\" &amp;RANDBETWEEN( 1,120) &amp; "/\" &amp;0.1 &amp; "/\" &amp; G577</f>
        <v>/\115/\70/\0.1/\0.112335726973287</v>
      </c>
      <c r="H580" s="80" t="s">
        <v>2244</v>
      </c>
    </row>
    <row r="581" spans="1:8" ht="16" thickTop="1" x14ac:dyDescent="0.35">
      <c r="B581" s="101">
        <f ca="1">[1]!stdnum_A($C$580)</f>
        <v>89991.904104912697</v>
      </c>
      <c r="C581" s="82"/>
      <c r="D581" s="77"/>
      <c r="F581" s="92">
        <f ca="1">[1]!stdnum_A($G$580)</f>
        <v>9.2839443779576022E-2</v>
      </c>
      <c r="G581" s="82"/>
      <c r="H581" s="77"/>
    </row>
    <row r="582" spans="1:8" x14ac:dyDescent="0.35">
      <c r="B582" s="101">
        <f ca="1">[1]!stdnum_B($C$580)</f>
        <v>119779.22436363883</v>
      </c>
      <c r="C582" s="82"/>
      <c r="D582" s="77"/>
      <c r="F582" s="92">
        <f ca="1">[1]!stdnum_B($G$580)</f>
        <v>0.12356929967061571</v>
      </c>
      <c r="G582" s="82"/>
      <c r="H582" s="77"/>
    </row>
    <row r="583" spans="1:8" x14ac:dyDescent="0.35">
      <c r="B583" s="101">
        <f ca="1">[1]!stdnum_C($C$580)</f>
        <v>98991.09451540398</v>
      </c>
      <c r="C583" s="82"/>
      <c r="D583" s="77"/>
      <c r="F583" s="92">
        <f ca="1">[1]!stdnum_C($G$580)</f>
        <v>0.112335726973287</v>
      </c>
      <c r="G583" s="82"/>
      <c r="H583" s="77"/>
    </row>
    <row r="584" spans="1:8" x14ac:dyDescent="0.35">
      <c r="B584" s="101">
        <f ca="1">[1]!stdnum_D($C$580)</f>
        <v>81810.821913556996</v>
      </c>
      <c r="C584" s="82"/>
      <c r="D584" s="77"/>
      <c r="F584" s="92">
        <f ca="1">[1]!stdnum_D($G$580)</f>
        <v>0.13592622963767728</v>
      </c>
      <c r="G584" s="82"/>
      <c r="H584" s="77"/>
    </row>
    <row r="585" spans="1:8" ht="16" thickBot="1" x14ac:dyDescent="0.4">
      <c r="B585" s="102">
        <f ca="1">[1]!stdnum_E($C$580)</f>
        <v>108890.20396694439</v>
      </c>
      <c r="C585" s="84"/>
      <c r="D585" s="78"/>
      <c r="F585" s="93">
        <f ca="1">[1]!stdnum_E($G$580)</f>
        <v>0.10212338815753363</v>
      </c>
      <c r="G585" s="84"/>
      <c r="H585" s="78"/>
    </row>
    <row r="586" spans="1:8" ht="16" thickTop="1" x14ac:dyDescent="0.35"/>
    <row r="588" spans="1:8" x14ac:dyDescent="0.35">
      <c r="A588" s="88" t="s">
        <v>1596</v>
      </c>
    </row>
    <row r="589" spans="1:8" x14ac:dyDescent="0.35">
      <c r="A589" s="8">
        <f ca="1">RANDBETWEEN(10,30)*100</f>
        <v>1800</v>
      </c>
      <c r="B589" s="2" t="s">
        <v>1372</v>
      </c>
      <c r="D589" s="33">
        <f ca="1">PV(C591,A590,A589,-D590)</f>
        <v>28979.794893767979</v>
      </c>
      <c r="E589" s="2" t="s">
        <v>1485</v>
      </c>
      <c r="F589" s="33"/>
      <c r="G589" s="33">
        <f ca="1">D589+D591</f>
        <v>33579.794893767976</v>
      </c>
      <c r="H589" s="2" t="s">
        <v>2242</v>
      </c>
    </row>
    <row r="590" spans="1:8" x14ac:dyDescent="0.35">
      <c r="A590" s="2">
        <f ca="1">RANDBETWEEN(3,9)*5</f>
        <v>30</v>
      </c>
      <c r="B590" s="2" t="s">
        <v>2471</v>
      </c>
      <c r="D590" s="8">
        <f ca="1">ROUND(F590*(1+RANDBETWEEN(16,25)/100)^(IF(RANDBETWEEN(0,1)=0,1,-1))*3,-2)</f>
        <v>111100</v>
      </c>
      <c r="E590" s="2" t="s">
        <v>2644</v>
      </c>
      <c r="F590" s="33">
        <f ca="1">PV(C591,A590,-A589)</f>
        <v>43691.611929982231</v>
      </c>
      <c r="G590" s="9">
        <f ca="1">12*RATE(A590,A589,G589,-D590)</f>
        <v>0.13662523276921684</v>
      </c>
      <c r="H590" s="2" t="s">
        <v>1856</v>
      </c>
    </row>
    <row r="591" spans="1:8" x14ac:dyDescent="0.35">
      <c r="A591" s="9">
        <f ca="1">RANDBETWEEN(145,215)/1000</f>
        <v>0.17100000000000001</v>
      </c>
      <c r="B591" s="2" t="s">
        <v>1111</v>
      </c>
      <c r="C591" s="9">
        <f ca="1">A591/12</f>
        <v>1.4250000000000001E-2</v>
      </c>
      <c r="D591" s="24">
        <f ca="1">ROUND(A589*3*(1+RANDBETWEEN(16,25)/100)^(IF(RANDBETWEEN(0,1)=0,1,-1)),-2)</f>
        <v>4600</v>
      </c>
      <c r="E591" s="2" t="s">
        <v>3816</v>
      </c>
    </row>
    <row r="592" spans="1:8" ht="16" thickBot="1" x14ac:dyDescent="0.4">
      <c r="C592" s="88" t="s">
        <v>3463</v>
      </c>
      <c r="G592" s="88" t="s">
        <v>3464</v>
      </c>
    </row>
    <row r="593" spans="1:8" ht="16.5" thickTop="1" thickBot="1" x14ac:dyDescent="0.4">
      <c r="B593" s="76" t="str">
        <f ca="1">[1]!std_ans($C$593)</f>
        <v>C</v>
      </c>
      <c r="C593" s="79" t="str">
        <f ca="1" xml:space="preserve"> "/\" &amp;RANDBETWEEN( 1,120) &amp; "/\" &amp;RANDBETWEEN( 1,120) &amp; "/\" &amp;0.1 &amp; "/\" &amp; D589</f>
        <v>/\31/\66/\0.1/\28979.794893768</v>
      </c>
      <c r="D593" s="80" t="s">
        <v>3461</v>
      </c>
      <c r="F593" s="76" t="str">
        <f ca="1">[1]!std_ans($G$593)</f>
        <v>A</v>
      </c>
      <c r="G593" s="79" t="str">
        <f ca="1" xml:space="preserve"> "/\" &amp;RANDBETWEEN( 1,120) &amp; "/\" &amp;RANDBETWEEN( 1,120) &amp; "/\" &amp;0.1 &amp; "/\" &amp; G590</f>
        <v>/\5/\24/\0.1/\0.136625232769217</v>
      </c>
      <c r="H593" s="80" t="s">
        <v>3462</v>
      </c>
    </row>
    <row r="594" spans="1:8" ht="16" thickTop="1" x14ac:dyDescent="0.35">
      <c r="B594" s="101">
        <f ca="1">[1]!stdnum_A($C$593)</f>
        <v>31877.774383144802</v>
      </c>
      <c r="C594" s="82"/>
      <c r="D594" s="77"/>
      <c r="F594" s="92">
        <f ca="1">[1]!stdnum_A($G$593)</f>
        <v>0.13662523276921701</v>
      </c>
      <c r="G594" s="82"/>
      <c r="H594" s="77"/>
    </row>
    <row r="595" spans="1:8" x14ac:dyDescent="0.35">
      <c r="B595" s="101">
        <f ca="1">[1]!stdnum_B($C$593)</f>
        <v>35065.551821459288</v>
      </c>
      <c r="C595" s="82"/>
      <c r="D595" s="77"/>
      <c r="F595" s="92">
        <f ca="1">[1]!stdnum_B($G$593)</f>
        <v>0.20003300329741067</v>
      </c>
      <c r="G595" s="82"/>
      <c r="H595" s="77"/>
    </row>
    <row r="596" spans="1:8" x14ac:dyDescent="0.35">
      <c r="B596" s="101">
        <f ca="1">[1]!stdnum_C($C$593)</f>
        <v>28979.794893768001</v>
      </c>
      <c r="C596" s="82"/>
      <c r="D596" s="77"/>
      <c r="F596" s="92">
        <f ca="1">[1]!stdnum_C($G$593)</f>
        <v>0.15028775604613873</v>
      </c>
      <c r="G596" s="82"/>
      <c r="H596" s="77"/>
    </row>
    <row r="597" spans="1:8" x14ac:dyDescent="0.35">
      <c r="B597" s="101">
        <f ca="1">[1]!stdnum_D($C$593)</f>
        <v>26345.268085243635</v>
      </c>
      <c r="C597" s="82"/>
      <c r="D597" s="77"/>
      <c r="F597" s="92">
        <f ca="1">[1]!stdnum_D($G$593)</f>
        <v>0.1818481848158279</v>
      </c>
      <c r="G597" s="82"/>
      <c r="H597" s="77"/>
    </row>
    <row r="598" spans="1:8" ht="16" thickBot="1" x14ac:dyDescent="0.4">
      <c r="B598" s="102">
        <f ca="1">[1]!stdnum_E($C$593)</f>
        <v>23950.24371385785</v>
      </c>
      <c r="C598" s="84"/>
      <c r="D598" s="78"/>
      <c r="F598" s="93">
        <f ca="1">[1]!stdnum_E($G$593)</f>
        <v>0.16531653165075261</v>
      </c>
      <c r="G598" s="84"/>
      <c r="H598" s="78"/>
    </row>
    <row r="599" spans="1:8" ht="16" thickTop="1" x14ac:dyDescent="0.35"/>
    <row r="601" spans="1:8" x14ac:dyDescent="0.35">
      <c r="A601" s="88" t="s">
        <v>1150</v>
      </c>
    </row>
    <row r="602" spans="1:8" x14ac:dyDescent="0.35">
      <c r="A602" s="8">
        <f ca="1">RANDBETWEEN(10,25)*10000</f>
        <v>240000</v>
      </c>
      <c r="B602" s="2" t="s">
        <v>1148</v>
      </c>
      <c r="C602" s="10">
        <f ca="1">A602/12</f>
        <v>20000</v>
      </c>
      <c r="E602" s="27">
        <f ca="1">10^(-6)*C602/C603</f>
        <v>3.75</v>
      </c>
      <c r="F602" s="2" t="s">
        <v>1485</v>
      </c>
    </row>
    <row r="603" spans="1:8" x14ac:dyDescent="0.35">
      <c r="A603" s="9">
        <f ca="1">RANDBETWEEN(55,125)/1000</f>
        <v>6.4000000000000001E-2</v>
      </c>
      <c r="B603" s="2" t="s">
        <v>1111</v>
      </c>
      <c r="C603" s="14">
        <f ca="1">A603/12</f>
        <v>5.3333333333333332E-3</v>
      </c>
    </row>
    <row r="604" spans="1:8" ht="16" thickBot="1" x14ac:dyDescent="0.4"/>
    <row r="605" spans="1:8" ht="16.5" thickTop="1" thickBot="1" x14ac:dyDescent="0.4">
      <c r="B605" s="76" t="str">
        <f ca="1">[1]!std_ans($C$605)</f>
        <v>A</v>
      </c>
      <c r="C605" s="79" t="str">
        <f ca="1" xml:space="preserve"> "/\" &amp;RANDBETWEEN( 1,120) &amp; "/\" &amp;RANDBETWEEN( 1,120) &amp; "/\" &amp;0.1 &amp; "/\" &amp; E602</f>
        <v>/\5/\2/\0.1/\3.75</v>
      </c>
      <c r="D605" s="80" t="s">
        <v>1149</v>
      </c>
    </row>
    <row r="606" spans="1:8" ht="16" thickTop="1" x14ac:dyDescent="0.35">
      <c r="B606" s="96">
        <f ca="1">[1]!stdnum_A($C$605)</f>
        <v>3.75</v>
      </c>
      <c r="C606" s="82"/>
      <c r="D606" s="77"/>
    </row>
    <row r="607" spans="1:8" x14ac:dyDescent="0.35">
      <c r="B607" s="96">
        <f ca="1">[1]!stdnum_B($C$605)</f>
        <v>4.125</v>
      </c>
      <c r="C607" s="82"/>
      <c r="D607" s="77"/>
    </row>
    <row r="608" spans="1:8" x14ac:dyDescent="0.35">
      <c r="B608" s="96">
        <f ca="1">[1]!stdnum_C($C$605)</f>
        <v>4.9912500000000017</v>
      </c>
      <c r="C608" s="82"/>
      <c r="D608" s="77"/>
    </row>
    <row r="609" spans="1:5" x14ac:dyDescent="0.35">
      <c r="B609" s="96">
        <f ca="1">[1]!stdnum_D($C$605)</f>
        <v>4.5375000000000005</v>
      </c>
      <c r="C609" s="82"/>
      <c r="D609" s="77"/>
    </row>
    <row r="610" spans="1:5" ht="16" thickBot="1" x14ac:dyDescent="0.4">
      <c r="B610" s="97">
        <f ca="1">[1]!stdnum_E($C$605)</f>
        <v>5.4903750000000011</v>
      </c>
      <c r="C610" s="84"/>
      <c r="D610" s="78"/>
    </row>
    <row r="611" spans="1:5" ht="16" thickTop="1" x14ac:dyDescent="0.35"/>
    <row r="613" spans="1:5" x14ac:dyDescent="0.35">
      <c r="A613" s="88" t="s">
        <v>848</v>
      </c>
    </row>
    <row r="614" spans="1:5" x14ac:dyDescent="0.35">
      <c r="A614" s="9">
        <f ca="1">RANDBETWEEN(55,125)/1000</f>
        <v>9.7000000000000003E-2</v>
      </c>
      <c r="B614" s="2" t="s">
        <v>1111</v>
      </c>
      <c r="D614" s="264">
        <f ca="1">1/A614</f>
        <v>10.309278350515463</v>
      </c>
      <c r="E614" s="2" t="s">
        <v>3693</v>
      </c>
    </row>
    <row r="615" spans="1:5" ht="16" thickBot="1" x14ac:dyDescent="0.4"/>
    <row r="616" spans="1:5" ht="16.5" thickTop="1" thickBot="1" x14ac:dyDescent="0.4">
      <c r="B616" s="76" t="str">
        <f ca="1">[1]!std_ans($C$616)</f>
        <v>A</v>
      </c>
      <c r="C616" s="79" t="str">
        <f ca="1" xml:space="preserve"> "/\" &amp;RANDBETWEEN( 1,120) &amp; "/\" &amp;RANDBETWEEN( 1,120) &amp; "/\" &amp;0.1 &amp; "/\" &amp; D614</f>
        <v>/\15/\116/\0.1/\10.3092783505155</v>
      </c>
      <c r="D616" s="80" t="s">
        <v>194</v>
      </c>
    </row>
    <row r="617" spans="1:5" ht="16" thickTop="1" x14ac:dyDescent="0.35">
      <c r="B617" s="300">
        <f ca="1">[1]!stdnum_A($C$616)</f>
        <v>10.3092783505155</v>
      </c>
      <c r="C617" s="82"/>
      <c r="D617" s="77"/>
    </row>
    <row r="618" spans="1:5" x14ac:dyDescent="0.35">
      <c r="B618" s="300">
        <f ca="1">[1]!stdnum_B($C$616)</f>
        <v>8.5200647524921482</v>
      </c>
      <c r="C618" s="82"/>
      <c r="D618" s="77"/>
    </row>
    <row r="619" spans="1:5" x14ac:dyDescent="0.35">
      <c r="B619" s="300">
        <f ca="1">[1]!stdnum_C($C$616)</f>
        <v>7.041375828505906</v>
      </c>
      <c r="C619" s="82"/>
      <c r="D619" s="77"/>
    </row>
    <row r="620" spans="1:5" x14ac:dyDescent="0.35">
      <c r="B620" s="300">
        <f ca="1">[1]!stdnum_D($C$616)</f>
        <v>9.3720712277413636</v>
      </c>
      <c r="C620" s="82"/>
      <c r="D620" s="77"/>
    </row>
    <row r="621" spans="1:5" ht="16" thickBot="1" x14ac:dyDescent="0.4">
      <c r="B621" s="301">
        <f ca="1">[1]!stdnum_E($C$616)</f>
        <v>7.7455134113564963</v>
      </c>
      <c r="C621" s="84"/>
      <c r="D621" s="78"/>
    </row>
    <row r="622" spans="1:5" ht="16" thickTop="1" x14ac:dyDescent="0.35"/>
    <row r="624" spans="1:5" x14ac:dyDescent="0.35">
      <c r="A624" s="88" t="s">
        <v>195</v>
      </c>
    </row>
    <row r="625" spans="1:5" x14ac:dyDescent="0.35">
      <c r="A625" s="9">
        <f ca="1">RANDBETWEEN(95,125)/1000</f>
        <v>0.112</v>
      </c>
      <c r="B625" s="2" t="s">
        <v>196</v>
      </c>
      <c r="D625" s="264">
        <f ca="1">IF(A627*(A625-A626)&lt;1.5,"RECALCULATE",A627*(A625-A626))</f>
        <v>1.5366000000000002</v>
      </c>
      <c r="E625" s="2" t="s">
        <v>198</v>
      </c>
    </row>
    <row r="626" spans="1:5" x14ac:dyDescent="0.35">
      <c r="A626" s="9">
        <f ca="1">RANDBETWEEN(35,75)/1000</f>
        <v>7.2999999999999995E-2</v>
      </c>
      <c r="B626" s="2" t="s">
        <v>197</v>
      </c>
    </row>
    <row r="627" spans="1:5" x14ac:dyDescent="0.35">
      <c r="A627" s="264">
        <f ca="1">2*RANDBETWEEN(155,325)/10</f>
        <v>39.4</v>
      </c>
      <c r="B627" s="2" t="s">
        <v>3693</v>
      </c>
    </row>
    <row r="628" spans="1:5" ht="16" thickBot="1" x14ac:dyDescent="0.4"/>
    <row r="629" spans="1:5" ht="16.5" thickTop="1" thickBot="1" x14ac:dyDescent="0.4">
      <c r="B629" s="76" t="str">
        <f ca="1">[1]!std_ans($C$629)</f>
        <v>B</v>
      </c>
      <c r="C629" s="79" t="str">
        <f ca="1" xml:space="preserve"> "/\" &amp;RANDBETWEEN( 1,120) &amp; "/\" &amp;RANDBETWEEN( 1,120) &amp; "/\" &amp;0.1 &amp; "/\" &amp; D625</f>
        <v>/\50/\117/\0.1/\1.5366</v>
      </c>
      <c r="D629" s="80" t="s">
        <v>199</v>
      </c>
    </row>
    <row r="630" spans="1:5" ht="16" thickTop="1" x14ac:dyDescent="0.35">
      <c r="B630" s="300">
        <f ca="1">[1]!stdnum_A($C$629)</f>
        <v>1.1544703230653641</v>
      </c>
      <c r="C630" s="82"/>
      <c r="D630" s="77"/>
    </row>
    <row r="631" spans="1:5" x14ac:dyDescent="0.35">
      <c r="B631" s="300">
        <f ca="1">[1]!stdnum_B($C$629)</f>
        <v>1.5366</v>
      </c>
      <c r="C631" s="82"/>
      <c r="D631" s="77"/>
    </row>
    <row r="632" spans="1:5" x14ac:dyDescent="0.35">
      <c r="B632" s="300">
        <f ca="1">[1]!stdnum_C($C$629)</f>
        <v>1.3969090909090909</v>
      </c>
      <c r="C632" s="82"/>
      <c r="D632" s="77"/>
    </row>
    <row r="633" spans="1:5" x14ac:dyDescent="0.35">
      <c r="B633" s="300">
        <f ca="1">[1]!stdnum_D($C$629)</f>
        <v>1.2699173553719008</v>
      </c>
      <c r="C633" s="82"/>
      <c r="D633" s="77"/>
    </row>
    <row r="634" spans="1:5" ht="16" thickBot="1" x14ac:dyDescent="0.4">
      <c r="B634" s="301">
        <f ca="1">[1]!stdnum_E($C$629)</f>
        <v>1.0495184755139673</v>
      </c>
      <c r="C634" s="84"/>
      <c r="D634" s="78"/>
    </row>
    <row r="635" spans="1:5" ht="16" thickTop="1" x14ac:dyDescent="0.35"/>
    <row r="637" spans="1:5" x14ac:dyDescent="0.35">
      <c r="A637" s="88" t="s">
        <v>526</v>
      </c>
    </row>
    <row r="638" spans="1:5" x14ac:dyDescent="0.35">
      <c r="A638" s="8">
        <f ca="1">RANDBETWEEN(10,30)*400</f>
        <v>8400</v>
      </c>
      <c r="B638" s="2" t="s">
        <v>3693</v>
      </c>
      <c r="D638" s="33">
        <f ca="1">PMT(A640/4,A639,-A638)</f>
        <v>319.13318616820703</v>
      </c>
      <c r="E638" s="2" t="s">
        <v>524</v>
      </c>
    </row>
    <row r="639" spans="1:5" x14ac:dyDescent="0.35">
      <c r="A639" s="2">
        <f ca="1">RANDBETWEEN(3,9)*5</f>
        <v>35</v>
      </c>
      <c r="B639" s="2" t="s">
        <v>2471</v>
      </c>
      <c r="D639" s="8"/>
    </row>
    <row r="640" spans="1:5" x14ac:dyDescent="0.35">
      <c r="A640" s="9">
        <f ca="1">RANDBETWEEN(55,145)/1000</f>
        <v>6.7000000000000004E-2</v>
      </c>
      <c r="B640" s="2" t="s">
        <v>1111</v>
      </c>
      <c r="C640" s="9"/>
      <c r="D640" s="24"/>
    </row>
    <row r="641" spans="1:5" ht="16" thickBot="1" x14ac:dyDescent="0.4"/>
    <row r="642" spans="1:5" ht="16.5" thickTop="1" thickBot="1" x14ac:dyDescent="0.4">
      <c r="B642" s="76" t="str">
        <f ca="1">[1]!std_ans($C$642)</f>
        <v>B</v>
      </c>
      <c r="C642" s="79" t="str">
        <f ca="1" xml:space="preserve"> "/\" &amp;RANDBETWEEN( 1,120) &amp; "/\" &amp;RANDBETWEEN( 1,120) &amp; "/\" &amp;0.1 &amp; "/\" &amp; D638</f>
        <v>/\98/\104/\0.1/\319.133186168207</v>
      </c>
      <c r="D642" s="80" t="s">
        <v>525</v>
      </c>
    </row>
    <row r="643" spans="1:5" ht="16" thickTop="1" x14ac:dyDescent="0.35">
      <c r="B643" s="101">
        <f ca="1">[1]!stdnum_A($C$642)</f>
        <v>263.7464348497578</v>
      </c>
      <c r="C643" s="82"/>
      <c r="D643" s="77"/>
    </row>
    <row r="644" spans="1:5" x14ac:dyDescent="0.35">
      <c r="B644" s="101">
        <f ca="1">[1]!stdnum_B($C$642)</f>
        <v>319.13318616820698</v>
      </c>
      <c r="C644" s="82"/>
      <c r="D644" s="77"/>
    </row>
    <row r="645" spans="1:5" x14ac:dyDescent="0.35">
      <c r="B645" s="101">
        <f ca="1">[1]!stdnum_C($C$642)</f>
        <v>239.76948622705251</v>
      </c>
      <c r="C645" s="82"/>
      <c r="D645" s="77"/>
    </row>
    <row r="646" spans="1:5" x14ac:dyDescent="0.35">
      <c r="B646" s="101">
        <f ca="1">[1]!stdnum_D($C$642)</f>
        <v>290.12107833473362</v>
      </c>
      <c r="C646" s="82"/>
      <c r="D646" s="77"/>
    </row>
    <row r="647" spans="1:5" ht="16" thickBot="1" x14ac:dyDescent="0.4">
      <c r="B647" s="102">
        <f ca="1">[1]!stdnum_E($C$642)</f>
        <v>217.97226020641136</v>
      </c>
      <c r="C647" s="84"/>
      <c r="D647" s="78"/>
    </row>
    <row r="648" spans="1:5" ht="16" thickTop="1" x14ac:dyDescent="0.35"/>
    <row r="650" spans="1:5" x14ac:dyDescent="0.35">
      <c r="A650" s="88" t="s">
        <v>3133</v>
      </c>
    </row>
    <row r="651" spans="1:5" x14ac:dyDescent="0.35">
      <c r="A651" s="8">
        <f ca="1">RANDBETWEEN(10,30)*800</f>
        <v>16800</v>
      </c>
      <c r="B651" s="2" t="s">
        <v>1304</v>
      </c>
      <c r="D651" s="33">
        <f ca="1">PMT(A653/12,C652,,-A651)</f>
        <v>231.92770690884896</v>
      </c>
      <c r="E651" s="2" t="s">
        <v>524</v>
      </c>
    </row>
    <row r="652" spans="1:5" x14ac:dyDescent="0.35">
      <c r="A652" s="2">
        <f ca="1">RANDBETWEEN(3,9)</f>
        <v>5</v>
      </c>
      <c r="B652" s="2" t="s">
        <v>2471</v>
      </c>
      <c r="C652" s="2">
        <f ca="1">12*A652+1</f>
        <v>61</v>
      </c>
      <c r="D652" s="8"/>
    </row>
    <row r="653" spans="1:5" x14ac:dyDescent="0.35">
      <c r="A653" s="9">
        <f ca="1">RANDBETWEEN(55,145)/1000</f>
        <v>6.7000000000000004E-2</v>
      </c>
      <c r="B653" s="2" t="s">
        <v>1111</v>
      </c>
      <c r="C653" s="9"/>
      <c r="D653" s="24"/>
    </row>
    <row r="654" spans="1:5" ht="16" thickBot="1" x14ac:dyDescent="0.4"/>
    <row r="655" spans="1:5" ht="16.5" thickTop="1" thickBot="1" x14ac:dyDescent="0.4">
      <c r="B655" s="76" t="str">
        <f ca="1">[1]!std_ans($C$655)</f>
        <v>D</v>
      </c>
      <c r="C655" s="79" t="str">
        <f ca="1" xml:space="preserve"> "/\" &amp;RANDBETWEEN( 1,120) &amp; "/\" &amp;RANDBETWEEN( 1,120) &amp; "/\" &amp;0.05 &amp; "/\" &amp; D651</f>
        <v>/\107/\55/\0.05/\231.927706908849</v>
      </c>
      <c r="D655" s="80" t="s">
        <v>2989</v>
      </c>
    </row>
    <row r="656" spans="1:5" ht="16" thickTop="1" x14ac:dyDescent="0.35">
      <c r="B656" s="101">
        <f ca="1">[1]!stdnum_A($C$655)</f>
        <v>255.70029686700602</v>
      </c>
      <c r="C656" s="82"/>
      <c r="D656" s="77"/>
    </row>
    <row r="657" spans="1:6" x14ac:dyDescent="0.35">
      <c r="B657" s="101">
        <f ca="1">[1]!stdnum_B($C$655)</f>
        <v>220.88353038937998</v>
      </c>
      <c r="C657" s="82"/>
      <c r="D657" s="77"/>
    </row>
    <row r="658" spans="1:6" x14ac:dyDescent="0.35">
      <c r="B658" s="101">
        <f ca="1">[1]!stdnum_C($C$655)</f>
        <v>243.52409225429145</v>
      </c>
      <c r="C658" s="82"/>
      <c r="D658" s="77"/>
    </row>
    <row r="659" spans="1:6" x14ac:dyDescent="0.35">
      <c r="B659" s="101">
        <f ca="1">[1]!stdnum_D($C$655)</f>
        <v>231.92770690884899</v>
      </c>
      <c r="C659" s="82"/>
      <c r="D659" s="77"/>
    </row>
    <row r="660" spans="1:6" ht="16" thickBot="1" x14ac:dyDescent="0.4">
      <c r="B660" s="102">
        <f ca="1">[1]!stdnum_E($C$655)</f>
        <v>210.36526703750474</v>
      </c>
      <c r="C660" s="84"/>
      <c r="D660" s="78"/>
    </row>
    <row r="661" spans="1:6" ht="16" thickTop="1" x14ac:dyDescent="0.35"/>
    <row r="663" spans="1:6" x14ac:dyDescent="0.35">
      <c r="A663" s="88" t="s">
        <v>3134</v>
      </c>
    </row>
    <row r="664" spans="1:6" x14ac:dyDescent="0.35">
      <c r="A664" s="8">
        <f ca="1">RANDBETWEEN(10,30)*800</f>
        <v>8000</v>
      </c>
      <c r="B664" s="2" t="s">
        <v>3693</v>
      </c>
      <c r="C664" s="2">
        <v>4</v>
      </c>
      <c r="E664" s="33">
        <f ca="1">PMT(C666,C665,A664,-E665)</f>
        <v>940.62939726652439</v>
      </c>
      <c r="F664" s="2" t="s">
        <v>524</v>
      </c>
    </row>
    <row r="665" spans="1:6" x14ac:dyDescent="0.35">
      <c r="A665" s="2">
        <f ca="1">RANDBETWEEN(3,9)</f>
        <v>3</v>
      </c>
      <c r="B665" s="2" t="s">
        <v>2471</v>
      </c>
      <c r="C665" s="2">
        <f ca="1">C664*A665+1</f>
        <v>13</v>
      </c>
      <c r="E665" s="8">
        <f ca="1">ROUND((1+RANDBETWEEN(16,25)/100)^(IF(RANDBETWEEN(0,1)=0,1,-1))*2*A664*(1+C666)^C665,-2)</f>
        <v>23100</v>
      </c>
      <c r="F665" s="2" t="s">
        <v>2644</v>
      </c>
    </row>
    <row r="666" spans="1:6" x14ac:dyDescent="0.35">
      <c r="A666" s="9">
        <f ca="1">RANDBETWEEN(55,145)/1000</f>
        <v>0.06</v>
      </c>
      <c r="B666" s="2" t="s">
        <v>1111</v>
      </c>
      <c r="C666" s="9">
        <f ca="1">A666/C664</f>
        <v>1.4999999999999999E-2</v>
      </c>
      <c r="D666" s="24"/>
    </row>
    <row r="667" spans="1:6" ht="16" thickBot="1" x14ac:dyDescent="0.4"/>
    <row r="668" spans="1:6" ht="16.5" thickTop="1" thickBot="1" x14ac:dyDescent="0.4">
      <c r="B668" s="76" t="str">
        <f ca="1">[1]!std_ans($C$668)</f>
        <v>E</v>
      </c>
      <c r="C668" s="79" t="str">
        <f ca="1" xml:space="preserve"> "/\" &amp;RANDBETWEEN( 1,120) &amp; "/\" &amp;RANDBETWEEN( 1,120) &amp; "/\" &amp;0.1 &amp; "/\" &amp; E664</f>
        <v>/\34/\105/\0.1/\940.629397266524</v>
      </c>
      <c r="D668" s="80" t="s">
        <v>3135</v>
      </c>
    </row>
    <row r="669" spans="1:6" ht="16" thickTop="1" x14ac:dyDescent="0.35">
      <c r="B669" s="101">
        <f ca="1">[1]!stdnum_A($C$668)</f>
        <v>706.70878832946937</v>
      </c>
      <c r="C669" s="82"/>
      <c r="D669" s="77"/>
    </row>
    <row r="670" spans="1:6" x14ac:dyDescent="0.35">
      <c r="B670" s="101">
        <f ca="1">[1]!stdnum_B($C$668)</f>
        <v>777.37966716241647</v>
      </c>
      <c r="C670" s="82"/>
      <c r="D670" s="77"/>
    </row>
    <row r="671" spans="1:6" x14ac:dyDescent="0.35">
      <c r="B671" s="101">
        <f ca="1">[1]!stdnum_C($C$668)</f>
        <v>642.4625348449722</v>
      </c>
      <c r="C671" s="82"/>
      <c r="D671" s="77"/>
    </row>
    <row r="672" spans="1:6" x14ac:dyDescent="0.35">
      <c r="B672" s="101">
        <f ca="1">[1]!stdnum_D($C$668)</f>
        <v>855.11763387865824</v>
      </c>
      <c r="C672" s="82"/>
      <c r="D672" s="77"/>
    </row>
    <row r="673" spans="1:6" ht="16" thickBot="1" x14ac:dyDescent="0.4">
      <c r="B673" s="102">
        <f ca="1">[1]!stdnum_E($C$668)</f>
        <v>940.62939726652405</v>
      </c>
      <c r="C673" s="84"/>
      <c r="D673" s="78"/>
    </row>
    <row r="674" spans="1:6" ht="16" thickTop="1" x14ac:dyDescent="0.35"/>
    <row r="676" spans="1:6" x14ac:dyDescent="0.35">
      <c r="A676" s="88" t="s">
        <v>1130</v>
      </c>
    </row>
    <row r="677" spans="1:6" x14ac:dyDescent="0.35">
      <c r="A677" s="8">
        <f ca="1">RANDBETWEEN(10,30)*800</f>
        <v>14400</v>
      </c>
      <c r="B677" s="2" t="s">
        <v>1304</v>
      </c>
      <c r="C677" s="2">
        <v>12</v>
      </c>
      <c r="E677" s="33">
        <f ca="1">PMT(C679,C678,,-A677)</f>
        <v>159.30643828375486</v>
      </c>
      <c r="F677" s="2" t="s">
        <v>524</v>
      </c>
    </row>
    <row r="678" spans="1:6" x14ac:dyDescent="0.35">
      <c r="A678" s="2">
        <f ca="1">RANDBETWEEN(3,9)</f>
        <v>6</v>
      </c>
      <c r="B678" s="2" t="s">
        <v>2471</v>
      </c>
      <c r="C678" s="2">
        <f ca="1">C677*A678+1</f>
        <v>73</v>
      </c>
      <c r="D678" s="8"/>
    </row>
    <row r="679" spans="1:6" x14ac:dyDescent="0.35">
      <c r="A679" s="9">
        <f ca="1">RANDBETWEEN(55,145)/1000</f>
        <v>6.9000000000000006E-2</v>
      </c>
      <c r="B679" s="2" t="s">
        <v>1111</v>
      </c>
      <c r="C679" s="9">
        <f ca="1">A679/12</f>
        <v>5.7500000000000008E-3</v>
      </c>
      <c r="D679" s="24"/>
    </row>
    <row r="680" spans="1:6" ht="16" thickBot="1" x14ac:dyDescent="0.4"/>
    <row r="681" spans="1:6" ht="16.5" thickTop="1" thickBot="1" x14ac:dyDescent="0.4">
      <c r="B681" s="76" t="str">
        <f ca="1">[1]!std_ans($C$681)</f>
        <v>E</v>
      </c>
      <c r="C681" s="79" t="str">
        <f ca="1" xml:space="preserve"> "/\" &amp;RANDBETWEEN( 1,120) &amp; "/\" &amp;RANDBETWEEN( 1,120) &amp; "/\" &amp;0.05 &amp; "/\" &amp; E677</f>
        <v>/\118/\104/\0.05/\159.306438283755</v>
      </c>
      <c r="D681" s="80" t="s">
        <v>3797</v>
      </c>
    </row>
    <row r="682" spans="1:6" ht="16" thickTop="1" x14ac:dyDescent="0.35">
      <c r="B682" s="101">
        <f ca="1">[1]!stdnum_A($C$681)</f>
        <v>144.49563563152381</v>
      </c>
      <c r="C682" s="82"/>
      <c r="D682" s="77"/>
    </row>
    <row r="683" spans="1:6" x14ac:dyDescent="0.35">
      <c r="B683" s="101">
        <f ca="1">[1]!stdnum_B($C$681)</f>
        <v>151.72041741309999</v>
      </c>
      <c r="C683" s="82"/>
      <c r="D683" s="77"/>
    </row>
    <row r="684" spans="1:6" x14ac:dyDescent="0.35">
      <c r="B684" s="101">
        <f ca="1">[1]!stdnum_C($C$681)</f>
        <v>137.61489107764172</v>
      </c>
      <c r="C684" s="82"/>
      <c r="D684" s="77"/>
    </row>
    <row r="685" spans="1:6" x14ac:dyDescent="0.35">
      <c r="B685" s="101">
        <f ca="1">[1]!stdnum_D($C$681)</f>
        <v>131.06180102632544</v>
      </c>
      <c r="C685" s="82"/>
      <c r="D685" s="77"/>
    </row>
    <row r="686" spans="1:6" ht="16" thickBot="1" x14ac:dyDescent="0.4">
      <c r="B686" s="102">
        <f ca="1">[1]!stdnum_E($C$681)</f>
        <v>159.306438283755</v>
      </c>
      <c r="C686" s="84"/>
      <c r="D686" s="78"/>
    </row>
    <row r="687" spans="1:6" ht="16" thickTop="1" x14ac:dyDescent="0.35"/>
    <row r="689" spans="1:7" x14ac:dyDescent="0.35">
      <c r="A689" s="88" t="s">
        <v>49</v>
      </c>
    </row>
    <row r="690" spans="1:7" x14ac:dyDescent="0.35">
      <c r="A690" s="8">
        <f ca="1">RANDBETWEEN(10,30)*800</f>
        <v>20000</v>
      </c>
      <c r="B690" s="2" t="s">
        <v>3693</v>
      </c>
      <c r="C690" s="2">
        <v>1</v>
      </c>
      <c r="E690" s="33">
        <f ca="1">PMT(C692,C691,A690,-E691)</f>
        <v>1079.7846747501735</v>
      </c>
      <c r="F690" s="2" t="s">
        <v>524</v>
      </c>
      <c r="G690" s="8">
        <f ca="1">ABS(E690)</f>
        <v>1079.7846747501735</v>
      </c>
    </row>
    <row r="691" spans="1:7" x14ac:dyDescent="0.35">
      <c r="A691" s="2">
        <f ca="1">RANDBETWEEN(5,12)</f>
        <v>12</v>
      </c>
      <c r="B691" s="2" t="s">
        <v>2471</v>
      </c>
      <c r="C691" s="2">
        <f ca="1">C690*A691</f>
        <v>12</v>
      </c>
      <c r="E691" s="8">
        <f ca="1">ROUND((1+RANDBETWEEN(26,35)/100)^(IF(RANDBETWEEN(0,1)=0,1,-1))*A690*(1+C692)^C691,-2)</f>
        <v>107000</v>
      </c>
      <c r="F691" s="2" t="s">
        <v>2644</v>
      </c>
      <c r="G691" s="2" t="str">
        <f ca="1">IF(E690&gt;0,"deposit","withdrawal")</f>
        <v>deposit</v>
      </c>
    </row>
    <row r="692" spans="1:7" x14ac:dyDescent="0.35">
      <c r="A692" s="9">
        <f ca="1">RANDBETWEEN(55,145)/1000</f>
        <v>0.123</v>
      </c>
      <c r="B692" s="2" t="s">
        <v>1111</v>
      </c>
      <c r="C692" s="9">
        <f ca="1">A692/C690</f>
        <v>0.123</v>
      </c>
      <c r="D692" s="24"/>
      <c r="G692" s="2" t="str">
        <f ca="1">IF(E690&lt;0,"deposit","withdrawal")</f>
        <v>withdrawal</v>
      </c>
    </row>
    <row r="693" spans="1:7" ht="16" thickBot="1" x14ac:dyDescent="0.4"/>
    <row r="694" spans="1:7" ht="16.5" thickTop="1" thickBot="1" x14ac:dyDescent="0.4">
      <c r="B694" s="76" t="str">
        <f ca="1">[1]!alpha_ans($C$694)</f>
        <v>B</v>
      </c>
      <c r="C694" s="79" t="str">
        <f ca="1" xml:space="preserve"> "/\" &amp;RANDBETWEEN( 1,5) &amp; "/\" &amp;RANDBETWEEN( 1,120) &amp; "/\" &amp;RANDBETWEEN( 1,6) &amp; "/\" &amp;RANDBETWEEN( 1,2) &amp; "/\" &amp; G690 &amp; "/\" &amp; "Mask" &amp; "/\" &amp; "Mask" &amp; "/\" &amp; G691 &amp; "/\" &amp; G692</f>
        <v>/\2/\11/\2/\1/\1079.78467475017/\Mask/\Mask/\deposit/\withdrawal</v>
      </c>
      <c r="D694" s="80" t="s">
        <v>50</v>
      </c>
    </row>
    <row r="695" spans="1:7" ht="16" thickTop="1" x14ac:dyDescent="0.35">
      <c r="B695" s="101">
        <f ca="1">[1]!onepair_A($C$694)</f>
        <v>1079.7846747501701</v>
      </c>
      <c r="C695" s="82" t="str">
        <f ca="1">[1]!onepair_A2($C$694)</f>
        <v>withdrawal</v>
      </c>
      <c r="D695" s="77"/>
    </row>
    <row r="696" spans="1:7" x14ac:dyDescent="0.35">
      <c r="B696" s="101">
        <f ca="1">[1]!onepair_B($C$694)</f>
        <v>1079.7846747501701</v>
      </c>
      <c r="C696" s="82" t="str">
        <f ca="1">[1]!onepair_B2($C$694)</f>
        <v>deposit</v>
      </c>
      <c r="D696" s="77"/>
    </row>
    <row r="697" spans="1:7" x14ac:dyDescent="0.35">
      <c r="B697" s="101">
        <f ca="1">[1]!onepair_C($C$694)</f>
        <v>1241.7523759626999</v>
      </c>
      <c r="C697" s="82" t="str">
        <f ca="1">[1]!onepair_C2($C$694)</f>
        <v>withdrawal</v>
      </c>
      <c r="D697" s="77"/>
    </row>
    <row r="698" spans="1:7" x14ac:dyDescent="0.35">
      <c r="B698" s="101">
        <f ca="1">[1]!onepair_D($C$694)</f>
        <v>1428.0152323571001</v>
      </c>
      <c r="C698" s="82" t="str">
        <f ca="1">[1]!onepair_D2($C$694)</f>
        <v>deposit</v>
      </c>
      <c r="D698" s="77"/>
    </row>
    <row r="699" spans="1:7" ht="16" thickBot="1" x14ac:dyDescent="0.4">
      <c r="B699" s="102">
        <f ca="1">[1]!onepair_E($C$694)</f>
        <v>1241.7523759626999</v>
      </c>
      <c r="C699" s="84" t="str">
        <f ca="1">[1]!onepair_E2($C$694)</f>
        <v>deposit</v>
      </c>
      <c r="D699" s="78"/>
    </row>
    <row r="700" spans="1:7" ht="16" thickTop="1" x14ac:dyDescent="0.35"/>
    <row r="702" spans="1:7" x14ac:dyDescent="0.35">
      <c r="A702" s="88" t="s">
        <v>1801</v>
      </c>
    </row>
    <row r="703" spans="1:7" x14ac:dyDescent="0.35">
      <c r="A703" s="8">
        <f ca="1">RANDBETWEEN(10,30)*800</f>
        <v>21600</v>
      </c>
      <c r="B703" s="2" t="s">
        <v>3693</v>
      </c>
      <c r="E703" s="8">
        <f ca="1">ROUND(A703*MIN(vMask20,1/vMask20),-2)</f>
        <v>17300</v>
      </c>
      <c r="F703" s="2" t="s">
        <v>1304</v>
      </c>
    </row>
    <row r="704" spans="1:7" x14ac:dyDescent="0.35">
      <c r="A704" s="2">
        <f ca="1">RANDBETWEEN(3,6)*36</f>
        <v>108</v>
      </c>
      <c r="B704" s="2" t="s">
        <v>1802</v>
      </c>
      <c r="E704" s="33">
        <f ca="1">PMT(C705,A704,-A703,E703)</f>
        <v>103.49925200264077</v>
      </c>
      <c r="F704" s="2" t="s">
        <v>1804</v>
      </c>
    </row>
    <row r="705" spans="1:6" x14ac:dyDescent="0.35">
      <c r="A705" s="9">
        <f ca="1">RANDBETWEEN(35,65)/1000</f>
        <v>3.9E-2</v>
      </c>
      <c r="B705" s="2" t="s">
        <v>197</v>
      </c>
      <c r="C705" s="29">
        <f ca="1">A705/12</f>
        <v>3.2499999999999999E-3</v>
      </c>
      <c r="E705" s="33">
        <f ca="1">PMT(C706,A704,-A703,E703)</f>
        <v>192.99546548105312</v>
      </c>
      <c r="F705" s="2" t="s">
        <v>1805</v>
      </c>
    </row>
    <row r="706" spans="1:6" x14ac:dyDescent="0.35">
      <c r="A706" s="9">
        <f ca="1">RANDBETWEEN(85,165)/1000</f>
        <v>9.2999999999999999E-2</v>
      </c>
      <c r="B706" s="2" t="s">
        <v>1803</v>
      </c>
      <c r="C706" s="29">
        <f ca="1">A706/12</f>
        <v>7.7499999999999999E-3</v>
      </c>
    </row>
    <row r="707" spans="1:6" ht="16" thickBot="1" x14ac:dyDescent="0.4"/>
    <row r="708" spans="1:6" ht="16.5" thickTop="1" thickBot="1" x14ac:dyDescent="0.4">
      <c r="B708" s="76" t="str">
        <f ca="1">[1]!alpha_ans($C$708)</f>
        <v>B</v>
      </c>
      <c r="C708" s="79" t="str">
        <f ca="1" xml:space="preserve"> "/\" &amp;RANDBETWEEN( 1,5) &amp; "/\" &amp;RANDBETWEEN( 1,120) &amp; "/\" &amp;RANDBETWEEN( 1,6) &amp; "/\" &amp;RANDBETWEEN( 1,2) &amp; "/\" &amp; E704 &amp; "/\" &amp; "Mask" &amp; "/\" &amp; "Mask" &amp; "/\" &amp; E705 &amp; "/\" &amp; "Mask"</f>
        <v>/\2/\119/\3/\2/\103.499252002641/\Mask/\Mask/\192.995465481053/\Mask</v>
      </c>
      <c r="D708" s="80" t="s">
        <v>1806</v>
      </c>
    </row>
    <row r="709" spans="1:6" ht="16" thickTop="1" x14ac:dyDescent="0.35">
      <c r="B709" s="101">
        <f ca="1">[1]!onepair_A($C$708)</f>
        <v>119.024139803037</v>
      </c>
      <c r="C709" s="142">
        <f ca="1">[1]!onepair_A2($C$708)</f>
        <v>221.94478530321101</v>
      </c>
      <c r="D709" s="77"/>
    </row>
    <row r="710" spans="1:6" x14ac:dyDescent="0.35">
      <c r="B710" s="101">
        <f ca="1">[1]!onepair_B($C$708)</f>
        <v>103.499252002641</v>
      </c>
      <c r="C710" s="142">
        <f ca="1">[1]!onepair_B2($C$708)</f>
        <v>192.995465481053</v>
      </c>
      <c r="D710" s="77"/>
    </row>
    <row r="711" spans="1:6" x14ac:dyDescent="0.35">
      <c r="B711" s="101">
        <f ca="1">[1]!onepair_C($C$708)</f>
        <v>89.999349567513903</v>
      </c>
      <c r="C711" s="142">
        <f ca="1">[1]!onepair_C2($C$708)</f>
        <v>221.94478530321101</v>
      </c>
      <c r="D711" s="77"/>
    </row>
    <row r="712" spans="1:6" x14ac:dyDescent="0.35">
      <c r="B712" s="101">
        <f ca="1">[1]!onepair_D($C$708)</f>
        <v>103.499252002641</v>
      </c>
      <c r="C712" s="142">
        <f ca="1">[1]!onepair_D2($C$708)</f>
        <v>221.94478530321101</v>
      </c>
      <c r="D712" s="77"/>
    </row>
    <row r="713" spans="1:6" ht="16" thickBot="1" x14ac:dyDescent="0.4">
      <c r="B713" s="102">
        <f ca="1">[1]!onepair_E($C$708)</f>
        <v>89.999349567513903</v>
      </c>
      <c r="C713" s="320">
        <f ca="1">[1]!onepair_E2($C$708)</f>
        <v>192.995465481053</v>
      </c>
      <c r="D713" s="78"/>
    </row>
    <row r="714" spans="1:6" ht="16" thickTop="1" x14ac:dyDescent="0.35"/>
    <row r="716" spans="1:6" x14ac:dyDescent="0.35">
      <c r="A716" s="88" t="s">
        <v>3745</v>
      </c>
    </row>
    <row r="717" spans="1:6" x14ac:dyDescent="0.35">
      <c r="A717" s="8">
        <f ca="1">RANDBETWEEN(30,80)*100</f>
        <v>4000</v>
      </c>
      <c r="B717" s="2" t="s">
        <v>864</v>
      </c>
      <c r="E717" s="2">
        <f ca="1">A718*A721+1</f>
        <v>15</v>
      </c>
      <c r="F717" s="2" t="s">
        <v>646</v>
      </c>
    </row>
    <row r="718" spans="1:6" x14ac:dyDescent="0.35">
      <c r="A718" s="2">
        <f ca="1">RANDBETWEEN(4,10)</f>
        <v>7</v>
      </c>
      <c r="B718" s="2" t="s">
        <v>494</v>
      </c>
      <c r="E718" s="106">
        <f ca="1">PMT(A719/A721,E717,0,-A717)</f>
        <v>191.73664637177575</v>
      </c>
      <c r="F718" s="2" t="s">
        <v>732</v>
      </c>
    </row>
    <row r="719" spans="1:6" x14ac:dyDescent="0.35">
      <c r="A719" s="9">
        <f ca="1">RANDBETWEEN(55,105)/1000</f>
        <v>9.0999999999999998E-2</v>
      </c>
      <c r="B719" s="2" t="s">
        <v>3744</v>
      </c>
      <c r="E719" s="10">
        <f ca="1">A717+A720</f>
        <v>4650</v>
      </c>
      <c r="F719" s="2" t="s">
        <v>3742</v>
      </c>
    </row>
    <row r="720" spans="1:6" x14ac:dyDescent="0.35">
      <c r="A720" s="8">
        <f ca="1">RANDBETWEEN(30,80)*10</f>
        <v>650</v>
      </c>
      <c r="B720" s="2" t="s">
        <v>3741</v>
      </c>
      <c r="E720" s="15">
        <f ca="1">RATE(E717,E718,0,-E719)*A721</f>
        <v>0.13075284215138133</v>
      </c>
      <c r="F720" s="2" t="s">
        <v>3743</v>
      </c>
    </row>
    <row r="721" spans="1:5" x14ac:dyDescent="0.35">
      <c r="A721" s="2">
        <f ca="1">CHOOSE(RANDBETWEEN(1,3),2,4,12)</f>
        <v>2</v>
      </c>
      <c r="B721" s="2" t="s">
        <v>731</v>
      </c>
    </row>
    <row r="722" spans="1:5" x14ac:dyDescent="0.35">
      <c r="A722" s="6" t="str">
        <f ca="1">IF(A721=1,"annually",IF(A721=2,"semiannually",IF(A721=4,"quarterly","monthly")))</f>
        <v>semiannually</v>
      </c>
      <c r="B722" s="2" t="s">
        <v>863</v>
      </c>
    </row>
    <row r="723" spans="1:5" ht="16" thickBot="1" x14ac:dyDescent="0.4"/>
    <row r="724" spans="1:5" ht="16.5" thickTop="1" thickBot="1" x14ac:dyDescent="0.4">
      <c r="B724" s="76" t="str">
        <f ca="1">[1]!std_ans($C$724)</f>
        <v>A</v>
      </c>
      <c r="C724" s="79" t="str">
        <f ca="1" xml:space="preserve"> "/\" &amp;RANDBETWEEN( 1,120) &amp; "/\" &amp;RANDBETWEEN( 1,120) &amp; "/\" &amp;0.1 &amp; "/\" &amp; E720</f>
        <v>/\23/\28/\0.1/\0.130752842151381</v>
      </c>
      <c r="D724" s="80" t="s">
        <v>3746</v>
      </c>
    </row>
    <row r="725" spans="1:5" ht="16" thickTop="1" x14ac:dyDescent="0.35">
      <c r="B725" s="92">
        <f ca="1">[1]!stdnum_A($C$724)</f>
        <v>0.130752842151381</v>
      </c>
      <c r="C725" s="82"/>
      <c r="D725" s="77"/>
    </row>
    <row r="726" spans="1:5" x14ac:dyDescent="0.35">
      <c r="B726" s="92">
        <f ca="1">[1]!stdnum_B($C$724)</f>
        <v>0.14382812636651912</v>
      </c>
      <c r="C726" s="82"/>
      <c r="D726" s="77"/>
    </row>
    <row r="727" spans="1:5" x14ac:dyDescent="0.35">
      <c r="B727" s="92">
        <f ca="1">[1]!stdnum_C($C$724)</f>
        <v>0.17403203290348818</v>
      </c>
      <c r="C727" s="82"/>
      <c r="D727" s="77"/>
    </row>
    <row r="728" spans="1:5" x14ac:dyDescent="0.35">
      <c r="B728" s="92">
        <f ca="1">[1]!stdnum_D($C$724)</f>
        <v>0.11886622013761909</v>
      </c>
      <c r="C728" s="82"/>
      <c r="D728" s="77"/>
    </row>
    <row r="729" spans="1:5" ht="16" thickBot="1" x14ac:dyDescent="0.4">
      <c r="B729" s="93">
        <f ca="1">[1]!stdnum_E($C$724)</f>
        <v>0.15821093900317104</v>
      </c>
      <c r="C729" s="84"/>
      <c r="D729" s="78"/>
    </row>
    <row r="730" spans="1:5" ht="16" thickTop="1" x14ac:dyDescent="0.35"/>
    <row r="732" spans="1:5" x14ac:dyDescent="0.35">
      <c r="A732" s="88" t="s">
        <v>3356</v>
      </c>
    </row>
    <row r="733" spans="1:5" x14ac:dyDescent="0.35">
      <c r="A733" s="8">
        <f ca="1">RANDBETWEEN(20,30)*100</f>
        <v>2300</v>
      </c>
      <c r="B733" s="2" t="s">
        <v>701</v>
      </c>
      <c r="D733" s="8">
        <f ca="1">A733*(1-(1+A737/A738)^(-A734))/(A737/A738)</f>
        <v>17683.11712996116</v>
      </c>
      <c r="E733" s="2" t="s">
        <v>1279</v>
      </c>
    </row>
    <row r="734" spans="1:5" x14ac:dyDescent="0.35">
      <c r="A734" s="2">
        <f ca="1">RANDBETWEEN(4,10)</f>
        <v>8</v>
      </c>
      <c r="B734" s="2" t="s">
        <v>3357</v>
      </c>
      <c r="D734" s="8">
        <f ca="1">A735*(1-(1+A737/A738)^(-A736))/(A737/A738)*(1+A737/A738)^(-A734)</f>
        <v>31057.229277914834</v>
      </c>
      <c r="E734" s="2" t="s">
        <v>2283</v>
      </c>
    </row>
    <row r="735" spans="1:5" x14ac:dyDescent="0.35">
      <c r="A735" s="8">
        <f ca="1">RANDBETWEEN(31,40)*100</f>
        <v>3500</v>
      </c>
      <c r="B735" s="2" t="s">
        <v>2233</v>
      </c>
      <c r="D735" s="8">
        <f ca="1">SUM(D733:D734)</f>
        <v>48740.346407875993</v>
      </c>
      <c r="E735" s="2" t="s">
        <v>2284</v>
      </c>
    </row>
    <row r="736" spans="1:5" x14ac:dyDescent="0.35">
      <c r="A736" s="2">
        <f ca="1">IF(C736=A734,C736+1,C736)</f>
        <v>10</v>
      </c>
      <c r="B736" s="2" t="s">
        <v>3358</v>
      </c>
      <c r="C736" s="62">
        <f ca="1">RANDBETWEEN(4,10)</f>
        <v>10</v>
      </c>
      <c r="D736" s="8">
        <f ca="1">A733*A734+A735*A736-D735</f>
        <v>4659.6535921240065</v>
      </c>
      <c r="E736" s="2" t="s">
        <v>1305</v>
      </c>
    </row>
    <row r="737" spans="1:8" x14ac:dyDescent="0.35">
      <c r="A737" s="14">
        <f ca="1">RANDBETWEEN(80,200)/1000</f>
        <v>0.107</v>
      </c>
      <c r="B737" s="2" t="s">
        <v>2995</v>
      </c>
      <c r="D737" s="8"/>
    </row>
    <row r="738" spans="1:8" x14ac:dyDescent="0.35">
      <c r="A738" s="2">
        <v>12</v>
      </c>
      <c r="B738" s="2" t="s">
        <v>731</v>
      </c>
      <c r="D738" s="8"/>
    </row>
    <row r="739" spans="1:8" x14ac:dyDescent="0.35">
      <c r="D739" s="14"/>
    </row>
    <row r="740" spans="1:8" ht="16" thickBot="1" x14ac:dyDescent="0.4">
      <c r="B740" s="88" t="s">
        <v>3360</v>
      </c>
      <c r="F740" s="88" t="s">
        <v>3362</v>
      </c>
    </row>
    <row r="741" spans="1:8" ht="16.5" thickTop="1" thickBot="1" x14ac:dyDescent="0.4">
      <c r="B741" s="76" t="str">
        <f ca="1">[1]!std_ans($C$741)</f>
        <v>D</v>
      </c>
      <c r="C741" s="79" t="str">
        <f ca="1" xml:space="preserve"> "/\" &amp;RANDBETWEEN( 1,120) &amp; "/\" &amp;RANDBETWEEN( 1,120) &amp; "/\" &amp;0.1 &amp; "/\" &amp; D735</f>
        <v>/\71/\65/\0.1/\48740.346407876</v>
      </c>
      <c r="D741" s="80" t="s">
        <v>3359</v>
      </c>
      <c r="F741" s="76" t="str">
        <f ca="1">[1]!std_ans($G$741)</f>
        <v>B</v>
      </c>
      <c r="G741" s="79" t="str">
        <f ca="1" xml:space="preserve"> "/\" &amp;RANDBETWEEN( 1,120) &amp; "/\" &amp;RANDBETWEEN( 1,120) &amp; "/\" &amp;0.1 &amp; "/\" &amp; D736</f>
        <v>/\51/\51/\0.1/\4659.65359212401</v>
      </c>
      <c r="H741" s="80" t="s">
        <v>3361</v>
      </c>
    </row>
    <row r="742" spans="1:8" ht="16" thickTop="1" x14ac:dyDescent="0.35">
      <c r="B742" s="101">
        <f ca="1">[1]!stdnum_A($C$741)</f>
        <v>58975.81915352997</v>
      </c>
      <c r="C742" s="82"/>
      <c r="D742" s="77"/>
      <c r="F742" s="101">
        <f ca="1">[1]!stdnum_A($G$741)</f>
        <v>5125.6189513364116</v>
      </c>
      <c r="G742" s="82"/>
      <c r="H742" s="77"/>
    </row>
    <row r="743" spans="1:8" x14ac:dyDescent="0.35">
      <c r="B743" s="101">
        <f ca="1">[1]!stdnum_B($C$741)</f>
        <v>44309.405825341819</v>
      </c>
      <c r="C743" s="82"/>
      <c r="D743" s="77"/>
      <c r="F743" s="101">
        <f ca="1">[1]!stdnum_B($G$741)</f>
        <v>4659.6535921240102</v>
      </c>
      <c r="G743" s="82"/>
      <c r="H743" s="77"/>
    </row>
    <row r="744" spans="1:8" x14ac:dyDescent="0.35">
      <c r="B744" s="101">
        <f ca="1">[1]!stdnum_C($C$741)</f>
        <v>40281.278023038016</v>
      </c>
      <c r="C744" s="82"/>
      <c r="D744" s="77"/>
      <c r="F744" s="101">
        <f ca="1">[1]!stdnum_C($G$741)</f>
        <v>4236.0487201127362</v>
      </c>
      <c r="G744" s="82"/>
      <c r="H744" s="77"/>
    </row>
    <row r="745" spans="1:8" x14ac:dyDescent="0.35">
      <c r="B745" s="101">
        <f ca="1">[1]!stdnum_D($C$741)</f>
        <v>48740.346407876001</v>
      </c>
      <c r="C745" s="82"/>
      <c r="D745" s="77"/>
      <c r="F745" s="101">
        <f ca="1">[1]!stdnum_D($G$741)</f>
        <v>3850.953381920669</v>
      </c>
      <c r="G745" s="82"/>
      <c r="H745" s="77"/>
    </row>
    <row r="746" spans="1:8" ht="16" thickBot="1" x14ac:dyDescent="0.4">
      <c r="B746" s="102">
        <f ca="1">[1]!stdnum_E($C$741)</f>
        <v>53614.381048663607</v>
      </c>
      <c r="C746" s="84"/>
      <c r="D746" s="78"/>
      <c r="F746" s="102">
        <f ca="1">[1]!stdnum_E($G$741)</f>
        <v>5638.1808464700534</v>
      </c>
      <c r="G746" s="84"/>
      <c r="H746" s="78"/>
    </row>
    <row r="747" spans="1:8" ht="16" thickTop="1" x14ac:dyDescent="0.35"/>
  </sheetData>
  <phoneticPr fontId="0" type="noConversion"/>
  <pageMargins left="0.75" right="0.75" top="1" bottom="1" header="0.5" footer="0.5"/>
  <pageSetup orientation="portrait" horizontalDpi="96" verticalDpi="96"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9"/>
  <dimension ref="A10:M425"/>
  <sheetViews>
    <sheetView workbookViewId="0"/>
  </sheetViews>
  <sheetFormatPr defaultColWidth="10.58203125" defaultRowHeight="15.5" x14ac:dyDescent="0.35"/>
  <cols>
    <col min="1" max="16384" width="10.58203125" style="2"/>
  </cols>
  <sheetData>
    <row r="10" spans="1:5" x14ac:dyDescent="0.35">
      <c r="A10" s="88" t="s">
        <v>3116</v>
      </c>
    </row>
    <row r="11" spans="1:5" x14ac:dyDescent="0.35">
      <c r="A11" s="107">
        <f ca="1">ROUND((1+RANDBETWEEN(8,13)/100)^(IF(RANDBETWEEN(0,1)=0,1,-1))*0.6*(A12*A13+A14*A15),-2)</f>
        <v>9800</v>
      </c>
      <c r="B11" s="2" t="s">
        <v>1107</v>
      </c>
      <c r="D11" s="14">
        <f ca="1">[1]!irrmixed(A11,A12,A13,A14,A15)</f>
        <v>0.13061232201710177</v>
      </c>
      <c r="E11" s="2" t="s">
        <v>1728</v>
      </c>
    </row>
    <row r="12" spans="1:5" x14ac:dyDescent="0.35">
      <c r="A12" s="107">
        <f ca="1">RANDBETWEEN(15,20)*100</f>
        <v>1600</v>
      </c>
      <c r="B12" s="2" t="s">
        <v>714</v>
      </c>
    </row>
    <row r="13" spans="1:5" x14ac:dyDescent="0.35">
      <c r="A13" s="2">
        <f ca="1">RANDBETWEEN(4,8)</f>
        <v>5</v>
      </c>
      <c r="B13" s="2" t="s">
        <v>715</v>
      </c>
    </row>
    <row r="14" spans="1:5" x14ac:dyDescent="0.35">
      <c r="A14" s="107">
        <f ca="1">RANDBETWEEN(21,30)*100</f>
        <v>2600</v>
      </c>
      <c r="B14" s="2" t="s">
        <v>3691</v>
      </c>
    </row>
    <row r="15" spans="1:5" x14ac:dyDescent="0.35">
      <c r="A15" s="2">
        <f ca="1">RANDBETWEEN(4,8)</f>
        <v>4</v>
      </c>
      <c r="B15" s="2" t="s">
        <v>3692</v>
      </c>
    </row>
    <row r="16" spans="1:5" ht="16" thickBot="1" x14ac:dyDescent="0.4"/>
    <row r="17" spans="1:5" ht="16.5" thickTop="1" thickBot="1" x14ac:dyDescent="0.4">
      <c r="B17" s="76" t="str">
        <f ca="1">[1]!std_ans($C$17)</f>
        <v>B</v>
      </c>
      <c r="C17" s="79" t="str">
        <f ca="1" xml:space="preserve"> "/\" &amp;RANDBETWEEN( 1,120) &amp; "/\" &amp;RANDBETWEEN( 1,120) &amp; "/\" &amp;0.1 &amp; "/\" &amp; D11</f>
        <v>/\29/\13/\0.1/\0.130612322017102</v>
      </c>
      <c r="D17" s="80" t="s">
        <v>1276</v>
      </c>
    </row>
    <row r="18" spans="1:5" ht="16" thickTop="1" x14ac:dyDescent="0.35">
      <c r="B18" s="92">
        <f ca="1">[1]!stdnum_A($C$17)</f>
        <v>0.17384500060476279</v>
      </c>
      <c r="C18" s="82"/>
      <c r="D18" s="77"/>
    </row>
    <row r="19" spans="1:5" x14ac:dyDescent="0.35">
      <c r="B19" s="92">
        <f ca="1">[1]!stdnum_B($C$17)</f>
        <v>0.13061232201710199</v>
      </c>
      <c r="C19" s="82"/>
      <c r="D19" s="77"/>
    </row>
    <row r="20" spans="1:5" x14ac:dyDescent="0.35">
      <c r="B20" s="92">
        <f ca="1">[1]!stdnum_C($C$17)</f>
        <v>0.19122950066523908</v>
      </c>
      <c r="C20" s="82"/>
      <c r="D20" s="77"/>
    </row>
    <row r="21" spans="1:5" x14ac:dyDescent="0.35">
      <c r="B21" s="92">
        <f ca="1">[1]!stdnum_D($C$17)</f>
        <v>0.1436735542188122</v>
      </c>
      <c r="C21" s="82"/>
      <c r="D21" s="77"/>
    </row>
    <row r="22" spans="1:5" ht="16" thickBot="1" x14ac:dyDescent="0.4">
      <c r="B22" s="93">
        <f ca="1">[1]!stdnum_E($C$17)</f>
        <v>0.15804090964069342</v>
      </c>
      <c r="C22" s="84"/>
      <c r="D22" s="78"/>
    </row>
    <row r="23" spans="1:5" ht="16" thickTop="1" x14ac:dyDescent="0.35"/>
    <row r="25" spans="1:5" x14ac:dyDescent="0.35">
      <c r="A25" s="120" t="s">
        <v>3112</v>
      </c>
    </row>
    <row r="26" spans="1:5" x14ac:dyDescent="0.35">
      <c r="A26" s="8">
        <f ca="1">RANDBETWEEN(18,32)*1000</f>
        <v>23000</v>
      </c>
      <c r="B26" s="2" t="s">
        <v>2795</v>
      </c>
      <c r="D26" s="8">
        <f ca="1">12*A27</f>
        <v>16800</v>
      </c>
      <c r="E26" s="138" t="s">
        <v>3109</v>
      </c>
    </row>
    <row r="27" spans="1:5" x14ac:dyDescent="0.35">
      <c r="A27" s="8">
        <f ca="1">RANDBETWEEN(8,14)*100</f>
        <v>1400</v>
      </c>
      <c r="B27" s="2" t="s">
        <v>3821</v>
      </c>
      <c r="D27" s="8">
        <f ca="1">12*A28+D26</f>
        <v>30000</v>
      </c>
      <c r="E27" s="138" t="s">
        <v>3110</v>
      </c>
    </row>
    <row r="28" spans="1:5" x14ac:dyDescent="0.35">
      <c r="A28" s="8">
        <f ca="1">IF(C28&lt;&gt;A27,C28,ROUND((1+RANDBETWEEN(16,25)/100)^(IF(RANDBETWEEN(0,1)=0,1,-1))*A27,-2))</f>
        <v>1100</v>
      </c>
      <c r="B28" s="2" t="s">
        <v>3222</v>
      </c>
      <c r="C28" s="231">
        <f ca="1">RANDBETWEEN(10,14)*100</f>
        <v>1100</v>
      </c>
      <c r="D28" s="8">
        <f ca="1">12*A29+D27</f>
        <v>46800</v>
      </c>
      <c r="E28" s="138" t="s">
        <v>3111</v>
      </c>
    </row>
    <row r="29" spans="1:5" x14ac:dyDescent="0.35">
      <c r="A29" s="8">
        <f ca="1">IF(C29&lt;&gt;A28,C29,ROUND((1+RANDBETWEEN(16,25)/100)^(IF(RANDBETWEEN(0,1)=0,1,-1))*A28,-2))</f>
        <v>1400</v>
      </c>
      <c r="B29" s="2" t="s">
        <v>1686</v>
      </c>
      <c r="C29" s="231">
        <f ca="1">RANDBETWEEN(8,14)*100</f>
        <v>1100</v>
      </c>
      <c r="D29" s="35">
        <f ca="1">IF(D27&gt;A26,12+(A26-D26)/A28,24+(A26-D27)/A29)</f>
        <v>17.636363636363637</v>
      </c>
      <c r="E29" s="62" t="s">
        <v>3581</v>
      </c>
    </row>
    <row r="30" spans="1:5" ht="16" thickBot="1" x14ac:dyDescent="0.4"/>
    <row r="31" spans="1:5" ht="16.5" thickTop="1" thickBot="1" x14ac:dyDescent="0.4">
      <c r="B31" s="76" t="str">
        <f ca="1">[1]!std_ans($C$31)</f>
        <v>D</v>
      </c>
      <c r="C31" s="79" t="str">
        <f ca="1" xml:space="preserve"> "/\" &amp;RANDBETWEEN( 1,120) &amp; "/\" &amp;RANDBETWEEN( 1,120) &amp; "/\" &amp;0.1 &amp; "/\" &amp; D29</f>
        <v>/\65/\2/\0.1/\17.6363636363636</v>
      </c>
      <c r="D31" s="80" t="s">
        <v>3113</v>
      </c>
    </row>
    <row r="32" spans="1:5" ht="16" thickTop="1" x14ac:dyDescent="0.35">
      <c r="B32" s="139">
        <f ca="1">[1]!stdnum_A($C$31)</f>
        <v>21.339999999999961</v>
      </c>
      <c r="C32" s="82"/>
      <c r="D32" s="77"/>
    </row>
    <row r="33" spans="1:5" x14ac:dyDescent="0.35">
      <c r="B33" s="139">
        <f ca="1">[1]!stdnum_B($C$31)</f>
        <v>25.821399999999954</v>
      </c>
      <c r="C33" s="82"/>
      <c r="D33" s="77"/>
    </row>
    <row r="34" spans="1:5" x14ac:dyDescent="0.35">
      <c r="B34" s="139">
        <f ca="1">[1]!stdnum_C($C$31)</f>
        <v>23.473999999999961</v>
      </c>
      <c r="C34" s="82"/>
      <c r="D34" s="77"/>
    </row>
    <row r="35" spans="1:5" x14ac:dyDescent="0.35">
      <c r="B35" s="139">
        <f ca="1">[1]!stdnum_D($C$31)</f>
        <v>17.636363636363601</v>
      </c>
      <c r="C35" s="82"/>
      <c r="D35" s="77"/>
    </row>
    <row r="36" spans="1:5" ht="16" thickBot="1" x14ac:dyDescent="0.4">
      <c r="B36" s="140">
        <f ca="1">[1]!stdnum_E($C$31)</f>
        <v>19.399999999999963</v>
      </c>
      <c r="C36" s="84"/>
      <c r="D36" s="78"/>
    </row>
    <row r="37" spans="1:5" ht="16" thickTop="1" x14ac:dyDescent="0.35"/>
    <row r="39" spans="1:5" x14ac:dyDescent="0.35">
      <c r="A39" s="88" t="s">
        <v>3114</v>
      </c>
    </row>
    <row r="40" spans="1:5" x14ac:dyDescent="0.35">
      <c r="A40" s="8">
        <f ca="1">RANDBETWEEN(10,30)*12000</f>
        <v>252000</v>
      </c>
      <c r="B40" s="2" t="s">
        <v>3270</v>
      </c>
      <c r="D40" s="3">
        <f ca="1">A40/A45</f>
        <v>107.21513909555927</v>
      </c>
      <c r="E40" s="2" t="s">
        <v>3405</v>
      </c>
    </row>
    <row r="41" spans="1:5" x14ac:dyDescent="0.35">
      <c r="A41" s="2">
        <f ca="1">RANDBETWEEN(3,6)*5</f>
        <v>15</v>
      </c>
      <c r="B41" s="2" t="s">
        <v>1814</v>
      </c>
      <c r="D41" s="297" t="str">
        <f ca="1">INT(D40/12) &amp; " years, " &amp;  ROUND(MOD(D40,12),0) &amp; " months"</f>
        <v>8 years, 11 months</v>
      </c>
    </row>
    <row r="42" spans="1:5" x14ac:dyDescent="0.35">
      <c r="A42" s="9">
        <f ca="1">RANDBETWEEN(75,105)/1000</f>
        <v>7.5999999999999998E-2</v>
      </c>
      <c r="B42" s="2" t="s">
        <v>2066</v>
      </c>
    </row>
    <row r="43" spans="1:5" x14ac:dyDescent="0.35">
      <c r="A43" s="2">
        <f ca="1">A41*12</f>
        <v>180</v>
      </c>
      <c r="B43" s="2" t="s">
        <v>1376</v>
      </c>
    </row>
    <row r="44" spans="1:5" x14ac:dyDescent="0.35">
      <c r="A44" s="114">
        <f ca="1">(1-(1+A42/12)^(-A43))/(A42/12)</f>
        <v>107.21513909555927</v>
      </c>
      <c r="B44" s="2" t="s">
        <v>1815</v>
      </c>
    </row>
    <row r="45" spans="1:5" x14ac:dyDescent="0.35">
      <c r="A45" s="8">
        <f ca="1">A40/A44</f>
        <v>2350.4143363130474</v>
      </c>
      <c r="B45" s="2" t="s">
        <v>3648</v>
      </c>
    </row>
    <row r="46" spans="1:5" ht="16" thickBot="1" x14ac:dyDescent="0.4"/>
    <row r="47" spans="1:5" ht="16.5" thickTop="1" thickBot="1" x14ac:dyDescent="0.4">
      <c r="B47" s="76" t="str">
        <f ca="1">[1]!std_ans($C$47)</f>
        <v>A</v>
      </c>
      <c r="C47" s="79" t="str">
        <f ca="1" xml:space="preserve"> "/\" &amp;RANDBETWEEN( 1,120) &amp; "/\" &amp;RANDBETWEEN( 1,120) &amp; "/\" &amp;0.1 &amp; "/\" &amp; D40</f>
        <v>/\1/\113/\0.1/\107.215139095559</v>
      </c>
      <c r="D47" s="80" t="s">
        <v>3115</v>
      </c>
    </row>
    <row r="48" spans="1:5" ht="16" thickTop="1" x14ac:dyDescent="0.35">
      <c r="B48" s="81" t="str">
        <f ca="1">INT([1]!stdnum_A($C$47)/12) &amp; " years, " &amp;  ROUND(MOD([1]!stdnum_A($C$47),12),0) &amp; " months"</f>
        <v>8 years, 11 months</v>
      </c>
      <c r="C48" s="82"/>
      <c r="D48" s="77"/>
    </row>
    <row r="49" spans="1:6" x14ac:dyDescent="0.35">
      <c r="B49" s="81" t="str">
        <f ca="1">INT([1]!stdnum_B($C$47)/12) &amp; " years, " &amp;  ROUND(MOD([1]!stdnum_B($C$47),12),0) &amp; " months"</f>
        <v>7 years, 5 months</v>
      </c>
      <c r="C49" s="82"/>
      <c r="D49" s="77"/>
    </row>
    <row r="50" spans="1:6" x14ac:dyDescent="0.35">
      <c r="B50" s="81" t="str">
        <f ca="1">INT([1]!stdnum_C($C$47)/12) &amp; " years, " &amp;  ROUND(MOD([1]!stdnum_C($C$47),12),0) &amp; " months"</f>
        <v>8 years, 1 months</v>
      </c>
      <c r="C50" s="82"/>
      <c r="D50" s="77"/>
    </row>
    <row r="51" spans="1:6" x14ac:dyDescent="0.35">
      <c r="B51" s="81" t="str">
        <f ca="1">INT([1]!stdnum_D($C$47)/12) &amp; " years, " &amp;  ROUND(MOD([1]!stdnum_D($C$47),12),0) &amp; " months"</f>
        <v>6 years, 1 months</v>
      </c>
      <c r="C51" s="82"/>
      <c r="D51" s="77"/>
    </row>
    <row r="52" spans="1:6" ht="16" thickBot="1" x14ac:dyDescent="0.4">
      <c r="B52" s="81" t="str">
        <f ca="1">INT([1]!stdnum_E($C$47)/12) &amp; " years, " &amp;  ROUND(MOD([1]!stdnum_E($C$47),12),0) &amp; " months"</f>
        <v>6 years, 9 months</v>
      </c>
      <c r="C52" s="84"/>
      <c r="D52" s="78"/>
    </row>
    <row r="53" spans="1:6" ht="16" thickTop="1" x14ac:dyDescent="0.35"/>
    <row r="55" spans="1:6" x14ac:dyDescent="0.35">
      <c r="A55" s="88" t="s">
        <v>667</v>
      </c>
    </row>
    <row r="56" spans="1:6" x14ac:dyDescent="0.35">
      <c r="A56" s="8">
        <f ca="1">RANDBETWEEN(90,180)*1000</f>
        <v>111000</v>
      </c>
      <c r="B56" s="2" t="s">
        <v>3270</v>
      </c>
      <c r="E56" s="6" t="s">
        <v>2334</v>
      </c>
      <c r="F56" s="114">
        <f ca="1">(1-(1+A58/12)^(-A59))/(A58/12)</f>
        <v>107.53453616213731</v>
      </c>
    </row>
    <row r="57" spans="1:6" x14ac:dyDescent="0.35">
      <c r="A57" s="2">
        <f ca="1">RANDBETWEEN(3,6)*5</f>
        <v>25</v>
      </c>
      <c r="B57" s="2" t="s">
        <v>1375</v>
      </c>
      <c r="E57" s="6" t="s">
        <v>878</v>
      </c>
      <c r="F57" s="8">
        <f ca="1">A56/F56</f>
        <v>1032.2265196051765</v>
      </c>
    </row>
    <row r="58" spans="1:6" x14ac:dyDescent="0.35">
      <c r="A58" s="9">
        <f ca="1">RANDBETWEEN(75,105)/1000</f>
        <v>0.10299999999999999</v>
      </c>
      <c r="B58" s="2" t="s">
        <v>2066</v>
      </c>
      <c r="E58" s="6" t="s">
        <v>1701</v>
      </c>
      <c r="F58" s="8">
        <f ca="1">F57*(1-(1+A58/12)^(-A59+A60))/(A58/12)</f>
        <v>91648.022180013097</v>
      </c>
    </row>
    <row r="59" spans="1:6" x14ac:dyDescent="0.35">
      <c r="A59" s="2">
        <f ca="1">A57*12</f>
        <v>300</v>
      </c>
      <c r="B59" s="2" t="s">
        <v>1376</v>
      </c>
      <c r="E59" s="6" t="s">
        <v>1277</v>
      </c>
      <c r="F59" s="8">
        <f ca="1">F57*(1-(1+A61/12)^(-A59+A60))/(A61/12)</f>
        <v>84689.557119280871</v>
      </c>
    </row>
    <row r="60" spans="1:6" x14ac:dyDescent="0.35">
      <c r="A60" s="3">
        <f ca="1">RANDBETWEEN(A59/3,A59/2-2)</f>
        <v>132</v>
      </c>
      <c r="B60" s="2" t="s">
        <v>2067</v>
      </c>
      <c r="E60" s="6" t="s">
        <v>493</v>
      </c>
      <c r="F60" s="3">
        <f ca="1">A59-A60</f>
        <v>168</v>
      </c>
    </row>
    <row r="61" spans="1:6" x14ac:dyDescent="0.35">
      <c r="A61" s="9">
        <f ca="1">A58+(IF(RANDBETWEEN(0,1)=0,1,-1))*RANDBETWEEN(9,20)/1000</f>
        <v>0.11799999999999999</v>
      </c>
      <c r="B61" s="2" t="s">
        <v>879</v>
      </c>
      <c r="E61" s="6" t="s">
        <v>1771</v>
      </c>
      <c r="F61" s="15">
        <f ca="1">12*RATE(A60,F57,-A56,F59)</f>
        <v>9.9657915306262668E-2</v>
      </c>
    </row>
    <row r="62" spans="1:6" ht="16" thickBot="1" x14ac:dyDescent="0.4"/>
    <row r="63" spans="1:6" ht="16.5" thickTop="1" thickBot="1" x14ac:dyDescent="0.4">
      <c r="B63" s="76" t="str">
        <f ca="1">[1]!std_ans($C$63)</f>
        <v>B</v>
      </c>
      <c r="C63" s="79" t="str">
        <f ca="1" xml:space="preserve"> "/\" &amp;RANDBETWEEN( 1,120) &amp; "/\" &amp;RANDBETWEEN( 1,120) &amp; "/\" &amp;0.1 &amp; "/\" &amp; F61</f>
        <v>/\101/\15/\0.1/\0.0996579153062627</v>
      </c>
      <c r="D63" s="80" t="s">
        <v>668</v>
      </c>
    </row>
    <row r="64" spans="1:6" ht="16" thickTop="1" x14ac:dyDescent="0.35">
      <c r="B64" s="134">
        <f ca="1">[1]!stdnum_A($C$63)</f>
        <v>0.14590915379989924</v>
      </c>
      <c r="C64" s="82"/>
      <c r="D64" s="77"/>
    </row>
    <row r="65" spans="1:6" x14ac:dyDescent="0.35">
      <c r="B65" s="134">
        <f ca="1">[1]!stdnum_B($C$63)</f>
        <v>9.9657915306262695E-2</v>
      </c>
      <c r="C65" s="82"/>
      <c r="D65" s="77"/>
    </row>
    <row r="66" spans="1:6" x14ac:dyDescent="0.35">
      <c r="B66" s="134">
        <f ca="1">[1]!stdnum_C($C$63)</f>
        <v>0.10962370683688898</v>
      </c>
      <c r="C66" s="82"/>
      <c r="D66" s="77"/>
    </row>
    <row r="67" spans="1:6" x14ac:dyDescent="0.35">
      <c r="B67" s="134">
        <f ca="1">[1]!stdnum_D($C$63)</f>
        <v>0.13264468527263568</v>
      </c>
      <c r="C67" s="82"/>
      <c r="D67" s="77"/>
    </row>
    <row r="68" spans="1:6" ht="16" thickBot="1" x14ac:dyDescent="0.4">
      <c r="B68" s="135">
        <f ca="1">[1]!stdnum_E($C$63)</f>
        <v>0.12058607752057789</v>
      </c>
      <c r="C68" s="84"/>
      <c r="D68" s="78"/>
    </row>
    <row r="69" spans="1:6" ht="16" thickTop="1" x14ac:dyDescent="0.35"/>
    <row r="71" spans="1:6" x14ac:dyDescent="0.35">
      <c r="A71" s="120" t="s">
        <v>580</v>
      </c>
    </row>
    <row r="72" spans="1:6" x14ac:dyDescent="0.35">
      <c r="A72" s="107">
        <f ca="1">MIN(vMask20,1/vMask20)*(A73/(1+A76)+A74/(1+A76)^2+A75/(1+A76)^3)</f>
        <v>3958.3290512076419</v>
      </c>
      <c r="B72" s="2" t="s">
        <v>1107</v>
      </c>
      <c r="E72" s="107">
        <f ca="1">A73/(1+A76)+A74/(1+A76)^2+A75/(1+A76)^3-A72</f>
        <v>989.58226280191047</v>
      </c>
      <c r="F72" s="2" t="s">
        <v>3300</v>
      </c>
    </row>
    <row r="73" spans="1:6" x14ac:dyDescent="0.35">
      <c r="A73" s="107">
        <f ca="1">RANDBETWEEN(15,20)*100</f>
        <v>1500</v>
      </c>
      <c r="B73" s="2" t="s">
        <v>3297</v>
      </c>
      <c r="E73" s="107">
        <f ca="1">E72*(1+A76)^3</f>
        <v>1477.7147</v>
      </c>
      <c r="F73" s="2" t="s">
        <v>3301</v>
      </c>
    </row>
    <row r="74" spans="1:6" x14ac:dyDescent="0.35">
      <c r="A74" s="107">
        <f ca="1">RANDBETWEEN(20,25)*100</f>
        <v>2300</v>
      </c>
      <c r="B74" s="2" t="s">
        <v>3298</v>
      </c>
    </row>
    <row r="75" spans="1:6" x14ac:dyDescent="0.35">
      <c r="A75" s="107">
        <f ca="1">RANDBETWEEN(25,30)*100</f>
        <v>2800</v>
      </c>
      <c r="B75" s="2" t="s">
        <v>3299</v>
      </c>
      <c r="E75" s="11" t="s">
        <v>2054</v>
      </c>
    </row>
    <row r="76" spans="1:6" x14ac:dyDescent="0.35">
      <c r="A76" s="14">
        <f ca="1">RANDBETWEEN(120,160)/1000</f>
        <v>0.14299999999999999</v>
      </c>
      <c r="B76" s="2" t="s">
        <v>1111</v>
      </c>
      <c r="D76" s="2">
        <f ca="1">(RANDBETWEEN(0,1))</f>
        <v>1</v>
      </c>
      <c r="E76" s="142">
        <f ca="1">IF(E73&lt;0,"#RECALCULATE",IF(D76=0,E73,E72))</f>
        <v>989.58226280191047</v>
      </c>
      <c r="F76" s="141" t="str">
        <f ca="1">IF(D76=0,"the wealth created in the company at the time the loan finally is paid-off equals","the capitalized value of wealth the project creates today is")</f>
        <v>the capitalized value of wealth the project creates today is</v>
      </c>
    </row>
    <row r="77" spans="1:6" ht="16" thickBot="1" x14ac:dyDescent="0.4">
      <c r="F77" s="143" t="str">
        <f ca="1">IF(D76=1,"the wealth created in the company at the time the loan finally is paid-off equals","the capitalized value of wealth the project creates today is")</f>
        <v>the wealth created in the company at the time the loan finally is paid-off equals</v>
      </c>
    </row>
    <row r="78" spans="1:6" ht="16.5" thickTop="1" thickBot="1" x14ac:dyDescent="0.4">
      <c r="B78" s="76" t="str">
        <f ca="1">[1]!alpha_ans($C$78)</f>
        <v>E</v>
      </c>
      <c r="C78" s="79" t="str">
        <f ca="1" xml:space="preserve"> "/\" &amp;RANDBETWEEN( 1,5) &amp; "/\" &amp;RANDBETWEEN( 1,120) &amp; "/\" &amp;RANDBETWEEN( 1,6) &amp; "/\" &amp;RANDBETWEEN( 1,2) &amp; "/\" &amp; E76 &amp; "/\" &amp; "Mask" &amp; "/\" &amp; "Mask" &amp; "/\" &amp; F76 &amp; "/\" &amp; F77</f>
        <v>/\5/\34/\1/\2/\989.58226280191/\Mask/\Mask/\the capitalized value of wealth the project creates today is/\the wealth created in the company at the time the loan finally is paid-off equals</v>
      </c>
      <c r="D78" s="80" t="s">
        <v>581</v>
      </c>
    </row>
    <row r="79" spans="1:6" ht="16" thickTop="1" x14ac:dyDescent="0.35">
      <c r="B79" s="110">
        <f ca="1">[1]!onepair_A($C$78)</f>
        <v>1138.0196022222001</v>
      </c>
      <c r="C79" s="136" t="str">
        <f ca="1">[1]!onepair_A2($C$78)</f>
        <v>the capitalized value of wealth the project creates today is</v>
      </c>
      <c r="D79" s="77"/>
    </row>
    <row r="80" spans="1:6" x14ac:dyDescent="0.35">
      <c r="B80" s="110">
        <f ca="1">[1]!onepair_B($C$78)</f>
        <v>1138.0196022222001</v>
      </c>
      <c r="C80" s="136" t="str">
        <f ca="1">[1]!onepair_B2($C$78)</f>
        <v>the wealth created in the company at the time the loan finally is paid-off equals</v>
      </c>
      <c r="D80" s="77"/>
    </row>
    <row r="81" spans="1:4" x14ac:dyDescent="0.35">
      <c r="B81" s="110">
        <f ca="1">[1]!onepair_C($C$78)</f>
        <v>1308.72254255553</v>
      </c>
      <c r="C81" s="136" t="str">
        <f ca="1">[1]!onepair_C2($C$78)</f>
        <v>the capitalized value of wealth the project creates today is</v>
      </c>
      <c r="D81" s="77"/>
    </row>
    <row r="82" spans="1:4" x14ac:dyDescent="0.35">
      <c r="B82" s="110">
        <f ca="1">[1]!onepair_D($C$78)</f>
        <v>1308.72254255553</v>
      </c>
      <c r="C82" s="136" t="str">
        <f ca="1">[1]!onepair_D2($C$78)</f>
        <v>the wealth created in the company at the time the loan finally is paid-off equals</v>
      </c>
      <c r="D82" s="77"/>
    </row>
    <row r="83" spans="1:4" ht="16" thickBot="1" x14ac:dyDescent="0.4">
      <c r="B83" s="111">
        <f ca="1">[1]!onepair_E($C$78)</f>
        <v>989.58226280191002</v>
      </c>
      <c r="C83" s="137" t="str">
        <f ca="1">[1]!onepair_E2($C$78)</f>
        <v>the capitalized value of wealth the project creates today is</v>
      </c>
      <c r="D83" s="78"/>
    </row>
    <row r="84" spans="1:4" ht="16" thickTop="1" x14ac:dyDescent="0.35"/>
    <row r="86" spans="1:4" x14ac:dyDescent="0.35">
      <c r="A86" s="88" t="s">
        <v>582</v>
      </c>
    </row>
    <row r="87" spans="1:4" x14ac:dyDescent="0.35">
      <c r="A87" s="5" t="s">
        <v>372</v>
      </c>
      <c r="B87" s="2" t="str">
        <f ca="1">IF((RANDBETWEEN(0,1))=0,"X is best when X’s NPV exceeds Y’s NPV","X is worst when X’s NPV is less than Y’s NPV")</f>
        <v>X is worst when X’s NPV is less than Y’s NPV</v>
      </c>
    </row>
    <row r="88" spans="1:4" x14ac:dyDescent="0.35">
      <c r="A88" s="5" t="s">
        <v>1683</v>
      </c>
      <c r="B88" s="2" t="str">
        <f ca="1">IF((RANDBETWEEN(0,1))=0,CHOOSE(RANDBETWEEN(1,2),"X is best when X’s IRR exceeds Y’s IRR","X is worst when X’s IRR is less than Y’s IRR"),CHOOSE(RANDBETWEEN(1,2),"X is best when X’s rate of return is more than Y’s rate of return","X is worst when X’s rate of return is less than Y’s rate of return"))</f>
        <v>X is best when X’s IRR exceeds Y’s IRR</v>
      </c>
    </row>
    <row r="89" spans="1:4" x14ac:dyDescent="0.35">
      <c r="B89" s="2" t="str">
        <f ca="1">IF((RANDBETWEEN(0,1))=0,CHOOSE(RANDBETWEEN(1,2),"X is best when the present value of X’s cash inflows exceeds the present value of Y’s cash inflows","X is worst when the present value of X’s cash inflows is less than the present value of Y’s cash inflows"),CHOOSE(RANDBETWEEN(1,2),"X is best when X’s cost is less than Y’s cost","X is worst when X’s payback period is less than Y’s payback period"))</f>
        <v>X is worst when the present value of X’s cash inflows is less than the present value of Y’s cash inflows</v>
      </c>
    </row>
    <row r="90" spans="1:4" x14ac:dyDescent="0.35">
      <c r="B90" s="2" t="str">
        <f ca="1">IF((RANDBETWEEN(0,1))=0,"X is best when X’s payback period is less than Y’s payback period","X is worst when X’s cost is more than Y’s cost")</f>
        <v>X is best when X’s payback period is less than Y’s payback period</v>
      </c>
    </row>
    <row r="91" spans="1:4" x14ac:dyDescent="0.35">
      <c r="B91" s="2" t="str">
        <f ca="1">IF((RANDBETWEEN(0,1))=0,CHOOSE(RANDBETWEEN(1,2),"X is best when X’s future value is more than Y’s future value","X is worst when X’s future value is less than Y’s future value"),CHOOSE(RANDBETWEEN(1,2),"when X’s IRR is bigger than Y’s, then X’s NPV must be bigger too","when X’s IRR is smaller than Y’s, then X’s NPV must be smaller too"))</f>
        <v>when X’s IRR is bigger than Y’s, then X’s NPV must be bigger too</v>
      </c>
    </row>
    <row r="92" spans="1:4" ht="16" thickBot="1" x14ac:dyDescent="0.4"/>
    <row r="93" spans="1:4" ht="16.5" thickTop="1" thickBot="1" x14ac:dyDescent="0.4">
      <c r="B93" s="76" t="str">
        <f ca="1">[1]!std_ans($C$93)</f>
        <v>A</v>
      </c>
      <c r="C93" s="79" t="str">
        <f ca="1" xml:space="preserve"> "/\" &amp;RANDBETWEEN( 1,120) &amp; "/\" &amp; B87 &amp; "/\" &amp; B88 &amp; "/\" &amp; B89 &amp; "/\" &amp; B90 &amp; "/\" &amp; B91</f>
        <v>/\23/\X is worst when X’s NPV is less than Y’s NPV/\X is best when X’s IRR exceeds Y’s IRR/\X is worst when the present value of X’s cash inflows is less than the present value of Y’s cash inflows/\X is best when X’s payback period is less than Y’s payback period/\when X’s IRR is bigger than Y’s, then X’s NPV must be bigger too</v>
      </c>
      <c r="D93" s="80" t="s">
        <v>583</v>
      </c>
    </row>
    <row r="94" spans="1:4" ht="16" thickTop="1" x14ac:dyDescent="0.35">
      <c r="B94" s="81" t="str">
        <f ca="1">[1]!simpleV_A($C$93)</f>
        <v>X is worst when X’s NPV is less than Y’s NPV</v>
      </c>
      <c r="C94" s="82"/>
      <c r="D94" s="77"/>
    </row>
    <row r="95" spans="1:4" x14ac:dyDescent="0.35">
      <c r="B95" s="81" t="str">
        <f ca="1">[1]!simpleV_B($C$93)</f>
        <v>when X’s IRR is bigger than Y’s, then X’s NPV must be bigger too</v>
      </c>
      <c r="C95" s="82"/>
      <c r="D95" s="77"/>
    </row>
    <row r="96" spans="1:4" x14ac:dyDescent="0.35">
      <c r="B96" s="81" t="str">
        <f ca="1">[1]!simpleV_C($C$93)</f>
        <v>X is best when X’s payback period is less than Y’s payback period</v>
      </c>
      <c r="C96" s="82"/>
      <c r="D96" s="77"/>
    </row>
    <row r="97" spans="1:8" x14ac:dyDescent="0.35">
      <c r="B97" s="81" t="str">
        <f ca="1">[1]!simpleV_D($C$93)</f>
        <v>X is best when X’s IRR exceeds Y’s IRR</v>
      </c>
      <c r="C97" s="82"/>
      <c r="D97" s="77"/>
    </row>
    <row r="98" spans="1:8" ht="16" thickBot="1" x14ac:dyDescent="0.4">
      <c r="B98" s="83" t="str">
        <f ca="1">[1]!simpleV_E($C$93)</f>
        <v>X is worst when the present value of X’s cash inflows is less than the present value of Y’s cash inflows</v>
      </c>
      <c r="C98" s="84"/>
      <c r="D98" s="78"/>
    </row>
    <row r="99" spans="1:8" ht="16" thickTop="1" x14ac:dyDescent="0.35"/>
    <row r="101" spans="1:8" x14ac:dyDescent="0.35">
      <c r="A101" s="88" t="s">
        <v>880</v>
      </c>
    </row>
    <row r="102" spans="1:8" x14ac:dyDescent="0.35">
      <c r="A102" s="14">
        <f ca="1">RANDBETWEEN(75,110)/1000</f>
        <v>9.5000000000000001E-2</v>
      </c>
      <c r="B102" s="2" t="s">
        <v>1778</v>
      </c>
      <c r="D102" s="2" t="s">
        <v>1783</v>
      </c>
      <c r="E102" s="2" t="s">
        <v>3170</v>
      </c>
    </row>
    <row r="103" spans="1:8" x14ac:dyDescent="0.35">
      <c r="A103" s="14">
        <f ca="1">RANDBETWEEN(130,170)/1000</f>
        <v>0.152</v>
      </c>
      <c r="B103" s="2" t="s">
        <v>1779</v>
      </c>
      <c r="D103" s="14">
        <f ca="1">A102/2</f>
        <v>4.7500000000000001E-2</v>
      </c>
      <c r="E103" s="2" t="str">
        <f ca="1">A105</f>
        <v>Y</v>
      </c>
      <c r="F103" s="5" t="s">
        <v>232</v>
      </c>
      <c r="G103" s="144" t="str">
        <f ca="1">ROUND(100*IF(G108=0,D103,D104),1) &amp; "% then probably " &amp; IF(G108=0,E103,E104) &amp; " has the highest NPV"</f>
        <v>12.4% then probably X has the highest NPV</v>
      </c>
      <c r="H103" s="17"/>
    </row>
    <row r="104" spans="1:8" x14ac:dyDescent="0.35">
      <c r="A104" s="14">
        <f ca="1">RANDBETWEEN(180,240)/1000</f>
        <v>0.189</v>
      </c>
      <c r="B104" s="2" t="s">
        <v>1780</v>
      </c>
      <c r="D104" s="14">
        <f ca="1">(A102+A103)/2</f>
        <v>0.1235</v>
      </c>
      <c r="E104" s="2" t="str">
        <f ca="1">A106</f>
        <v>X</v>
      </c>
      <c r="F104" s="5" t="s">
        <v>2516</v>
      </c>
      <c r="G104" s="144" t="str">
        <f ca="1">ROUND(100*IF(G108=0,D103/2,D104*1.3),1) &amp; "% then probably " &amp; IF(G108=0,E104,E103) &amp; " has the highest NPV"</f>
        <v>16.1% then probably Y has the highest NPV</v>
      </c>
      <c r="H104" s="17"/>
    </row>
    <row r="105" spans="1:8" x14ac:dyDescent="0.35">
      <c r="A105" s="4" t="str">
        <f ca="1">IF(C105=1,"X","Y")</f>
        <v>Y</v>
      </c>
      <c r="B105" s="2" t="s">
        <v>1781</v>
      </c>
      <c r="C105" s="2">
        <f ca="1">(RANDBETWEEN(0,1))</f>
        <v>0</v>
      </c>
      <c r="G105" s="144" t="str">
        <f ca="1">ROUND(100*IF(G108=1,D103,D104),1) &amp; "% then probably " &amp; IF(G108=0,E103,E104) &amp; " has the highest NPV"</f>
        <v>4.8% then probably X has the highest NPV</v>
      </c>
      <c r="H105" s="17"/>
    </row>
    <row r="106" spans="1:8" x14ac:dyDescent="0.35">
      <c r="A106" s="4" t="str">
        <f ca="1">IF(C105=0,"X","Y")</f>
        <v>X</v>
      </c>
      <c r="B106" s="2" t="s">
        <v>1782</v>
      </c>
      <c r="G106" s="144" t="str">
        <f ca="1">ROUND(100*A102-1.11,1) &amp; "% then probably " &amp; A106 &amp; " has the highest NPV"</f>
        <v>8.4% then probably X has the highest NPV</v>
      </c>
      <c r="H106" s="17"/>
    </row>
    <row r="107" spans="1:8" ht="16" thickBot="1" x14ac:dyDescent="0.4">
      <c r="G107" s="144" t="str">
        <f ca="1">ROUND(100*A102+1.11,1) &amp; "% then probably " &amp; A105 &amp; " has the highest NPV"</f>
        <v>10.6% then probably Y has the highest NPV</v>
      </c>
      <c r="H107" s="17"/>
    </row>
    <row r="108" spans="1:8" ht="16.5" thickTop="1" thickBot="1" x14ac:dyDescent="0.4">
      <c r="B108" s="76" t="str">
        <f ca="1">[1]!std_ans($C$108)</f>
        <v>B</v>
      </c>
      <c r="C108" s="79" t="str">
        <f ca="1" xml:space="preserve"> "/\" &amp;RANDBETWEEN( 1,120) &amp; "/\" &amp; G103 &amp; "/\" &amp; G104 &amp; "/\" &amp; G105 &amp; "/\" &amp; G106 &amp; "/\" &amp; G107</f>
        <v>/\73/\12.4% then probably X has the highest NPV/\16.1% then probably Y has the highest NPV/\4.8% then probably X has the highest NPV/\8.4% then probably X has the highest NPV/\10.6% then probably Y has the highest NPV</v>
      </c>
      <c r="D108" s="80" t="s">
        <v>881</v>
      </c>
      <c r="G108" s="2">
        <f ca="1">(RANDBETWEEN(0,1))</f>
        <v>1</v>
      </c>
    </row>
    <row r="109" spans="1:8" ht="16" thickTop="1" x14ac:dyDescent="0.35">
      <c r="B109" s="134" t="str">
        <f ca="1">[1]!simpleV_A($C$108)</f>
        <v>8.4% then probably X has the highest NPV</v>
      </c>
      <c r="C109" s="82"/>
      <c r="D109" s="77"/>
    </row>
    <row r="110" spans="1:8" x14ac:dyDescent="0.35">
      <c r="B110" s="134" t="str">
        <f ca="1">[1]!simpleV_B($C$108)</f>
        <v>12.4% then probably X has the highest NPV</v>
      </c>
      <c r="C110" s="82"/>
      <c r="D110" s="77"/>
    </row>
    <row r="111" spans="1:8" x14ac:dyDescent="0.35">
      <c r="B111" s="134" t="str">
        <f ca="1">[1]!simpleV_C($C$108)</f>
        <v>16.1% then probably Y has the highest NPV</v>
      </c>
      <c r="C111" s="82"/>
      <c r="D111" s="77"/>
    </row>
    <row r="112" spans="1:8" x14ac:dyDescent="0.35">
      <c r="B112" s="134" t="str">
        <f ca="1">[1]!simpleV_D($C$108)</f>
        <v>4.8% then probably X has the highest NPV</v>
      </c>
      <c r="C112" s="82"/>
      <c r="D112" s="77"/>
    </row>
    <row r="113" spans="1:11" ht="16" thickBot="1" x14ac:dyDescent="0.4">
      <c r="B113" s="135" t="str">
        <f ca="1">[1]!simpleV_E($C$108)</f>
        <v>10.6% then probably Y has the highest NPV</v>
      </c>
      <c r="C113" s="84"/>
      <c r="D113" s="78"/>
    </row>
    <row r="114" spans="1:11" ht="16" thickTop="1" x14ac:dyDescent="0.35"/>
    <row r="116" spans="1:11" x14ac:dyDescent="0.35">
      <c r="A116" s="88" t="s">
        <v>882</v>
      </c>
    </row>
    <row r="117" spans="1:11" x14ac:dyDescent="0.35">
      <c r="A117" s="12">
        <f ca="1">RANDBETWEEN(12,20)/100</f>
        <v>0.18</v>
      </c>
      <c r="B117" s="2" t="s">
        <v>3793</v>
      </c>
    </row>
    <row r="118" spans="1:11" x14ac:dyDescent="0.35">
      <c r="A118" s="147" t="s">
        <v>272</v>
      </c>
      <c r="B118" s="148"/>
      <c r="F118" s="22" t="s">
        <v>2287</v>
      </c>
      <c r="J118" s="22" t="s">
        <v>2288</v>
      </c>
    </row>
    <row r="119" spans="1:11" x14ac:dyDescent="0.35">
      <c r="A119" s="33">
        <f ca="1">5000*RANDBETWEEN(16,28)</f>
        <v>80000</v>
      </c>
      <c r="B119" s="2" t="s">
        <v>1112</v>
      </c>
      <c r="F119" s="106">
        <f ca="1">A122-A128</f>
        <v>140.99650039341043</v>
      </c>
      <c r="G119" s="2" t="s">
        <v>1843</v>
      </c>
      <c r="J119" s="106">
        <f ca="1">A122-A129</f>
        <v>162.66975448878492</v>
      </c>
      <c r="K119" s="2" t="s">
        <v>1843</v>
      </c>
    </row>
    <row r="120" spans="1:11" x14ac:dyDescent="0.35">
      <c r="A120" s="29">
        <f ca="1">RANDBETWEEN(80,100)/1000</f>
        <v>9.1999999999999998E-2</v>
      </c>
      <c r="B120" s="2" t="s">
        <v>1111</v>
      </c>
      <c r="F120" s="2">
        <f ca="1">360-A121</f>
        <v>333</v>
      </c>
      <c r="G120" s="2" t="s">
        <v>1844</v>
      </c>
      <c r="J120" s="2">
        <f ca="1">360-A121</f>
        <v>333</v>
      </c>
      <c r="K120" s="2" t="s">
        <v>1844</v>
      </c>
    </row>
    <row r="121" spans="1:11" x14ac:dyDescent="0.35">
      <c r="A121" s="2">
        <f ca="1">RANDBETWEEN(25,40)</f>
        <v>27</v>
      </c>
      <c r="B121" s="2" t="s">
        <v>1842</v>
      </c>
      <c r="F121" s="33">
        <f ca="1">-PV(A117/12,F120,F119)</f>
        <v>9333.7087560699511</v>
      </c>
      <c r="G121" s="2" t="s">
        <v>2724</v>
      </c>
      <c r="J121" s="33">
        <f ca="1">-PV(A117/12,J120,J119)</f>
        <v>10768.438277427491</v>
      </c>
      <c r="K121" s="2" t="s">
        <v>2724</v>
      </c>
    </row>
    <row r="122" spans="1:11" x14ac:dyDescent="0.35">
      <c r="A122" s="106">
        <f ca="1">-PMT(A120/12,360,A119)</f>
        <v>655.24371120184287</v>
      </c>
      <c r="B122" s="2" t="s">
        <v>1113</v>
      </c>
      <c r="F122" s="33">
        <f ca="1">-PV(A117/12,A121,A128)/(1+A117/12)^F120</f>
        <v>79.750850403966211</v>
      </c>
      <c r="G122" s="2" t="s">
        <v>2725</v>
      </c>
      <c r="J122" s="33">
        <f ca="1">-PV(A117/12,A121,A129)/(1+A117/12)^J120+C125</f>
        <v>3541.3056657939528</v>
      </c>
      <c r="K122" s="2" t="s">
        <v>2725</v>
      </c>
    </row>
    <row r="123" spans="1:11" x14ac:dyDescent="0.35">
      <c r="A123" s="33">
        <f ca="1">-PV(A120/12,360-A121,A122)</f>
        <v>78748.0900532245</v>
      </c>
      <c r="B123" s="2" t="s">
        <v>690</v>
      </c>
      <c r="F123" s="33">
        <f ca="1">F121-F122</f>
        <v>9253.9579056659841</v>
      </c>
      <c r="G123" s="2" t="s">
        <v>2848</v>
      </c>
      <c r="J123" s="33">
        <f ca="1">J121-J122</f>
        <v>7227.1326116335385</v>
      </c>
      <c r="K123" s="2" t="s">
        <v>2848</v>
      </c>
    </row>
    <row r="124" spans="1:11" x14ac:dyDescent="0.35">
      <c r="A124" s="147" t="s">
        <v>691</v>
      </c>
      <c r="J124" s="2">
        <f ca="1">CEILING(C125/J119,1)</f>
        <v>22</v>
      </c>
      <c r="K124" s="2" t="s">
        <v>2289</v>
      </c>
    </row>
    <row r="125" spans="1:11" x14ac:dyDescent="0.35">
      <c r="A125" s="14">
        <f ca="1">RANDBETWEEN(30,50)/1000</f>
        <v>4.3999999999999997E-2</v>
      </c>
      <c r="B125" s="4" t="s">
        <v>3658</v>
      </c>
      <c r="C125" s="8">
        <f ca="1">A125*A123</f>
        <v>3464.9159623418777</v>
      </c>
      <c r="F125" s="33">
        <f ca="1">A122*(360-A121)-A123</f>
        <v>139448.06577698918</v>
      </c>
      <c r="G125" s="2" t="s">
        <v>1880</v>
      </c>
      <c r="J125" s="8">
        <f ca="1">A122*(360-A121)-A123</f>
        <v>139448.06577698918</v>
      </c>
      <c r="K125" s="2" t="s">
        <v>1880</v>
      </c>
    </row>
    <row r="126" spans="1:11" x14ac:dyDescent="0.35">
      <c r="A126" s="33">
        <f ca="1">A123*(1+A125)</f>
        <v>82213.006015566381</v>
      </c>
      <c r="B126" s="2" t="s">
        <v>1925</v>
      </c>
      <c r="F126" s="33">
        <f ca="1">A128*360-A126</f>
        <v>102915.9898754693</v>
      </c>
      <c r="G126" s="2" t="s">
        <v>284</v>
      </c>
      <c r="J126" s="33">
        <f ca="1">A129*360-A123</f>
        <v>98578.534363476356</v>
      </c>
      <c r="K126" s="2" t="s">
        <v>284</v>
      </c>
    </row>
    <row r="127" spans="1:11" x14ac:dyDescent="0.35">
      <c r="A127" s="9">
        <f ca="1">A120-RANDBETWEEN(12,35)/1000</f>
        <v>6.4000000000000001E-2</v>
      </c>
      <c r="B127" s="2" t="s">
        <v>1111</v>
      </c>
      <c r="F127" s="33">
        <f ca="1">F125-F126</f>
        <v>36532.075901519886</v>
      </c>
      <c r="G127" s="2" t="s">
        <v>1441</v>
      </c>
      <c r="J127" s="33">
        <f ca="1">J125-J126</f>
        <v>40869.531413512828</v>
      </c>
      <c r="K127" s="2" t="s">
        <v>1441</v>
      </c>
    </row>
    <row r="128" spans="1:11" x14ac:dyDescent="0.35">
      <c r="A128" s="106">
        <f ca="1">-PMT(A127/12,360,A126)</f>
        <v>514.24721080843244</v>
      </c>
      <c r="B128" s="2" t="s">
        <v>621</v>
      </c>
    </row>
    <row r="129" spans="1:12" x14ac:dyDescent="0.35">
      <c r="A129" s="106">
        <f ca="1">-PMT(A127/12,360,A123)</f>
        <v>492.57395671305795</v>
      </c>
      <c r="B129" s="2" t="s">
        <v>601</v>
      </c>
    </row>
    <row r="131" spans="1:12" ht="16" thickBot="1" x14ac:dyDescent="0.4">
      <c r="B131" s="120" t="s">
        <v>883</v>
      </c>
      <c r="F131" s="88" t="s">
        <v>885</v>
      </c>
      <c r="J131" s="88" t="s">
        <v>887</v>
      </c>
    </row>
    <row r="132" spans="1:12" ht="16.5" thickTop="1" thickBot="1" x14ac:dyDescent="0.4">
      <c r="B132" s="76" t="str">
        <f ca="1">[1]!std_ans($C$132)</f>
        <v>C</v>
      </c>
      <c r="C132" s="79" t="str">
        <f ca="1" xml:space="preserve"> "/\" &amp;RANDBETWEEN( 1,120) &amp; "/\" &amp;RANDBETWEEN( 1,120) &amp; "/\" &amp;0.1 &amp; "/\" &amp; F123</f>
        <v>/\109/\79/\0.1/\9253.95790566598</v>
      </c>
      <c r="D132" s="80" t="s">
        <v>884</v>
      </c>
      <c r="F132" s="76" t="str">
        <f ca="1">[1]!std_ans($G$132)</f>
        <v>D</v>
      </c>
      <c r="G132" s="79" t="str">
        <f ca="1" xml:space="preserve"> "/\" &amp;RANDBETWEEN( 1,120) &amp; "/\" &amp;RANDBETWEEN( 1,120) &amp; "/\" &amp;0.1 &amp; "/\" &amp; F127</f>
        <v>/\63/\6/\0.1/\36532.0759015199</v>
      </c>
      <c r="H132" s="80" t="s">
        <v>886</v>
      </c>
      <c r="J132" s="76" t="str">
        <f ca="1">[1]!std_ans($K$132)</f>
        <v>C</v>
      </c>
      <c r="K132" s="79" t="str">
        <f ca="1" xml:space="preserve"> "/\" &amp;RANDBETWEEN( 1,120) &amp; "/\" &amp;RANDBETWEEN( 1,120) &amp; "/\" &amp;0.1 &amp; "/\" &amp; J123</f>
        <v>/\67/\106/\0.1/\7227.13261163354</v>
      </c>
      <c r="L132" s="80" t="s">
        <v>888</v>
      </c>
    </row>
    <row r="133" spans="1:12" ht="16" thickTop="1" x14ac:dyDescent="0.35">
      <c r="B133" s="110">
        <f ca="1">[1]!stdnum_A($C$132)</f>
        <v>10179.35369623258</v>
      </c>
      <c r="C133" s="82"/>
      <c r="D133" s="77"/>
      <c r="F133" s="110">
        <f ca="1">[1]!stdnum_A($G$132)</f>
        <v>53486.6123274153</v>
      </c>
      <c r="G133" s="82"/>
      <c r="H133" s="77"/>
      <c r="J133" s="110">
        <f ca="1">[1]!stdnum_A($K$132)</f>
        <v>5972.8368691186279</v>
      </c>
      <c r="K133" s="82"/>
      <c r="L133" s="77"/>
    </row>
    <row r="134" spans="1:12" x14ac:dyDescent="0.35">
      <c r="B134" s="110">
        <f ca="1">[1]!stdnum_B($C$132)</f>
        <v>6952.6355414470154</v>
      </c>
      <c r="C134" s="82"/>
      <c r="D134" s="77"/>
      <c r="F134" s="110">
        <f ca="1">[1]!stdnum_B($G$132)</f>
        <v>48624.193024922999</v>
      </c>
      <c r="G134" s="82"/>
      <c r="H134" s="77"/>
      <c r="J134" s="110">
        <f ca="1">[1]!stdnum_B($K$132)</f>
        <v>4936.2288174534106</v>
      </c>
      <c r="K134" s="82"/>
      <c r="L134" s="77"/>
    </row>
    <row r="135" spans="1:12" x14ac:dyDescent="0.35">
      <c r="B135" s="110">
        <f ca="1">[1]!stdnum_C($C$132)</f>
        <v>9253.9579056659804</v>
      </c>
      <c r="C135" s="82"/>
      <c r="D135" s="77"/>
      <c r="F135" s="110">
        <f ca="1">[1]!stdnum_C($G$132)</f>
        <v>40185.283491671893</v>
      </c>
      <c r="G135" s="82"/>
      <c r="H135" s="77"/>
      <c r="J135" s="110">
        <f ca="1">[1]!stdnum_C($K$132)</f>
        <v>7227.1326116335404</v>
      </c>
      <c r="K135" s="82"/>
      <c r="L135" s="77"/>
    </row>
    <row r="136" spans="1:12" x14ac:dyDescent="0.35">
      <c r="B136" s="110">
        <f ca="1">[1]!stdnum_D($C$132)</f>
        <v>7647.8990955917188</v>
      </c>
      <c r="C136" s="82"/>
      <c r="D136" s="77"/>
      <c r="F136" s="110">
        <f ca="1">[1]!stdnum_D($G$132)</f>
        <v>36532.0759015199</v>
      </c>
      <c r="G136" s="82"/>
      <c r="H136" s="77"/>
      <c r="J136" s="110">
        <f ca="1">[1]!stdnum_D($K$132)</f>
        <v>5429.8516991987517</v>
      </c>
      <c r="K136" s="82"/>
      <c r="L136" s="77"/>
    </row>
    <row r="137" spans="1:12" ht="16" thickBot="1" x14ac:dyDescent="0.4">
      <c r="B137" s="111">
        <f ca="1">[1]!stdnum_E($C$132)</f>
        <v>8412.6890051508908</v>
      </c>
      <c r="C137" s="84"/>
      <c r="D137" s="78"/>
      <c r="F137" s="111">
        <f ca="1">[1]!stdnum_E($G$132)</f>
        <v>44203.811840839087</v>
      </c>
      <c r="G137" s="84"/>
      <c r="H137" s="78"/>
      <c r="J137" s="111">
        <f ca="1">[1]!stdnum_E($K$132)</f>
        <v>6570.1205560304907</v>
      </c>
      <c r="K137" s="84"/>
      <c r="L137" s="78"/>
    </row>
    <row r="138" spans="1:12" ht="16" thickTop="1" x14ac:dyDescent="0.35"/>
    <row r="139" spans="1:12" ht="16" thickBot="1" x14ac:dyDescent="0.4">
      <c r="B139" s="88" t="s">
        <v>395</v>
      </c>
      <c r="F139" s="88" t="s">
        <v>397</v>
      </c>
    </row>
    <row r="140" spans="1:12" ht="16.5" thickTop="1" thickBot="1" x14ac:dyDescent="0.4">
      <c r="B140" s="76" t="str">
        <f ca="1">[1]!std_ans($C$140)</f>
        <v>D</v>
      </c>
      <c r="C140" s="79" t="str">
        <f ca="1" xml:space="preserve"> "/\" &amp;RANDBETWEEN( 1,120) &amp; "/\" &amp;RANDBETWEEN( 1,120) &amp; "/\" &amp;0.1 &amp; "/\" &amp; J127</f>
        <v>/\95/\11/\0.1/\40869.5314135128</v>
      </c>
      <c r="D140" s="80" t="s">
        <v>396</v>
      </c>
      <c r="F140" s="76" t="str">
        <f ca="1">[1]!std_ans($G$140)</f>
        <v>C</v>
      </c>
      <c r="G140" s="79" t="str">
        <f ca="1" xml:space="preserve"> "/\" &amp;RANDBETWEEN( 1,120) &amp; "/\" &amp;RANDBETWEEN( 1,120) &amp; "/\" &amp;0.1 &amp; "/\" &amp; J124</f>
        <v>/\86/\103/\0.1/\22</v>
      </c>
      <c r="H140" s="80" t="s">
        <v>398</v>
      </c>
    </row>
    <row r="141" spans="1:12" ht="16" thickTop="1" x14ac:dyDescent="0.35">
      <c r="B141" s="110">
        <f ca="1">[1]!stdnum_A($C$140)</f>
        <v>44956.484554864081</v>
      </c>
      <c r="C141" s="82"/>
      <c r="D141" s="77"/>
      <c r="F141" s="81">
        <f ca="1">[1]!stdnum_A($G$140)</f>
        <v>18.18181818181818</v>
      </c>
      <c r="G141" s="82"/>
      <c r="H141" s="77"/>
    </row>
    <row r="142" spans="1:12" x14ac:dyDescent="0.35">
      <c r="B142" s="110">
        <f ca="1">[1]!stdnum_B($C$140)</f>
        <v>54397.346311385554</v>
      </c>
      <c r="C142" s="82"/>
      <c r="D142" s="77"/>
      <c r="F142" s="81">
        <f ca="1">[1]!stdnum_B($G$140)</f>
        <v>15.026296018031552</v>
      </c>
      <c r="G142" s="82"/>
      <c r="H142" s="77"/>
    </row>
    <row r="143" spans="1:12" x14ac:dyDescent="0.35">
      <c r="B143" s="110">
        <f ca="1">[1]!stdnum_C($C$140)</f>
        <v>59837.080942524102</v>
      </c>
      <c r="C143" s="82"/>
      <c r="D143" s="77"/>
      <c r="F143" s="81">
        <f ca="1">[1]!stdnum_C($G$140)</f>
        <v>22</v>
      </c>
      <c r="G143" s="82"/>
      <c r="H143" s="77"/>
    </row>
    <row r="144" spans="1:12" x14ac:dyDescent="0.35">
      <c r="B144" s="110">
        <f ca="1">[1]!stdnum_D($C$140)</f>
        <v>40869.531413512799</v>
      </c>
      <c r="C144" s="82"/>
      <c r="D144" s="77"/>
      <c r="F144" s="81">
        <f ca="1">[1]!stdnum_D($G$140)</f>
        <v>20</v>
      </c>
      <c r="G144" s="82"/>
      <c r="H144" s="77"/>
    </row>
    <row r="145" spans="1:13" ht="16" thickBot="1" x14ac:dyDescent="0.4">
      <c r="B145" s="111">
        <f ca="1">[1]!stdnum_E($C$140)</f>
        <v>49452.133010350495</v>
      </c>
      <c r="C145" s="84"/>
      <c r="D145" s="78"/>
      <c r="F145" s="83">
        <f ca="1">[1]!stdnum_E($G$140)</f>
        <v>16.528925619834705</v>
      </c>
      <c r="G145" s="84"/>
      <c r="H145" s="78"/>
    </row>
    <row r="146" spans="1:13" ht="16" thickTop="1" x14ac:dyDescent="0.35"/>
    <row r="149" spans="1:13" x14ac:dyDescent="0.35">
      <c r="A149" s="4"/>
      <c r="B149" s="4" t="s">
        <v>1937</v>
      </c>
      <c r="C149" s="4" t="s">
        <v>1282</v>
      </c>
      <c r="D149" s="4" t="s">
        <v>1283</v>
      </c>
      <c r="E149" s="4" t="s">
        <v>1284</v>
      </c>
      <c r="F149" s="7">
        <f ca="1">RANDBETWEEN(14,22)/100</f>
        <v>0.22</v>
      </c>
      <c r="G149" s="4" t="s">
        <v>1285</v>
      </c>
      <c r="H149" s="4" t="s">
        <v>1936</v>
      </c>
      <c r="I149" s="4" t="s">
        <v>2794</v>
      </c>
      <c r="J149" s="2" t="s">
        <v>850</v>
      </c>
      <c r="K149" s="2" t="s">
        <v>851</v>
      </c>
      <c r="L149" s="2" t="s">
        <v>3369</v>
      </c>
      <c r="M149" s="2" t="s">
        <v>3370</v>
      </c>
    </row>
    <row r="150" spans="1:13" x14ac:dyDescent="0.35">
      <c r="A150" s="4" t="s">
        <v>694</v>
      </c>
      <c r="B150" s="20">
        <f ca="1">-RANDBETWEEN(60,100)*10</f>
        <v>-820</v>
      </c>
      <c r="C150" s="20">
        <f ca="1">ROUND(0.6*(-B150)*(1+F150),0)</f>
        <v>622</v>
      </c>
      <c r="D150" s="20">
        <f ca="1">ROUND(0.3*(-B150)*(1+F150)^2,0)</f>
        <v>393</v>
      </c>
      <c r="E150" s="20">
        <f ca="1">ROUND(0.1*(-B150)*(1+F150)^3,0)</f>
        <v>166</v>
      </c>
      <c r="F150" s="19">
        <f ca="1">F149*mask20</f>
        <v>0.26400000000000001</v>
      </c>
      <c r="G150" s="159">
        <f ca="1">IF(IRR(B150:E150)&gt;0,IRR(B150:E150),"#RECALCULATE")</f>
        <v>0.2642741973921594</v>
      </c>
      <c r="H150" s="21">
        <f ca="1">SUM(B150:E150)</f>
        <v>361</v>
      </c>
      <c r="I150" s="160">
        <f ca="1">NPV(G153,C150:E150)+B150</f>
        <v>201.4263939207367</v>
      </c>
      <c r="J150" s="106">
        <f ca="1">NPV(G150,C150:E150)+B150</f>
        <v>0</v>
      </c>
      <c r="K150" s="27">
        <f ca="1">NPV(G151,C150:E150)+B150</f>
        <v>86.392404655048836</v>
      </c>
      <c r="L150" s="27">
        <f ca="1">NPV(C159,C150:E150)+B150</f>
        <v>207.08702744379593</v>
      </c>
      <c r="M150" s="27">
        <f ca="1">NPV(C160,C150:E150)+B150</f>
        <v>41.185127547521347</v>
      </c>
    </row>
    <row r="151" spans="1:13" x14ac:dyDescent="0.35">
      <c r="A151" s="4" t="s">
        <v>695</v>
      </c>
      <c r="B151" s="20">
        <f ca="1">B150-RANDBETWEEN(10,30)*10</f>
        <v>-920</v>
      </c>
      <c r="C151" s="20">
        <f ca="1">ROUND(0.1*(-B151)*(1+F151),0)</f>
        <v>109</v>
      </c>
      <c r="D151" s="20">
        <f ca="1">ROUND(0.25*(-B151)*(1+F151)^2,0)</f>
        <v>322</v>
      </c>
      <c r="E151" s="95">
        <f ca="1">ROUND(0.65*(-B151)*(1+F151)^3,0)</f>
        <v>991</v>
      </c>
      <c r="F151" s="19">
        <f ca="1">F149/mask20</f>
        <v>0.18333333333333335</v>
      </c>
      <c r="G151" s="159">
        <f ca="1">IF(IRR(B151:E151)&gt;0,IRR(B151:E151),"#RECALCULATE")</f>
        <v>0.18340269986386071</v>
      </c>
      <c r="H151" s="21">
        <f ca="1">SUM(B151:E151)</f>
        <v>502</v>
      </c>
      <c r="I151" s="160">
        <f ca="1">NPV(G153,C151:E151)+B151</f>
        <v>201.4263939207367</v>
      </c>
      <c r="J151" s="106">
        <f ca="1">NPV(G150,C151:E151)+B151</f>
        <v>-141.93243054662219</v>
      </c>
      <c r="K151" s="27">
        <f ca="1">NPV(G151,C151:E151)+B151</f>
        <v>0</v>
      </c>
      <c r="L151" s="27">
        <f ca="1">NPV(C159,C151:E151)+B151</f>
        <v>211.68272374321896</v>
      </c>
      <c r="M151" s="27">
        <f ca="1">NPV(C160,C151:E151)+B151</f>
        <v>-75.319655583412441</v>
      </c>
    </row>
    <row r="152" spans="1:13" x14ac:dyDescent="0.35">
      <c r="B152" s="4"/>
      <c r="C152" s="4"/>
      <c r="D152" s="4"/>
      <c r="E152" s="4"/>
      <c r="G152" s="159" t="s">
        <v>321</v>
      </c>
      <c r="H152" s="4"/>
    </row>
    <row r="153" spans="1:13" x14ac:dyDescent="0.35">
      <c r="A153" s="2" t="s">
        <v>322</v>
      </c>
      <c r="B153" s="21">
        <f ca="1">B151-B150</f>
        <v>-100</v>
      </c>
      <c r="C153" s="21">
        <f ca="1">C151-C150</f>
        <v>-513</v>
      </c>
      <c r="D153" s="21">
        <f ca="1">D151-D150</f>
        <v>-71</v>
      </c>
      <c r="E153" s="21">
        <f ca="1">E151-E150</f>
        <v>825</v>
      </c>
      <c r="G153" s="159">
        <f ca="1">IRR(B153:E153)</f>
        <v>9.5554427544058074E-2</v>
      </c>
      <c r="H153" s="21">
        <f ca="1">SUM(B153:E153)</f>
        <v>141</v>
      </c>
    </row>
    <row r="155" spans="1:13" x14ac:dyDescent="0.35">
      <c r="C155" s="161"/>
      <c r="D155" s="4" t="b">
        <v>1</v>
      </c>
      <c r="E155" s="2" t="b">
        <v>0</v>
      </c>
    </row>
    <row r="156" spans="1:13" x14ac:dyDescent="0.35">
      <c r="C156" s="15"/>
      <c r="D156" s="2" t="str">
        <f ca="1">ROUND(100*G150,1) &amp; IF(J150&gt;J151,"% then project A is the better of the two","% then project B is the better of the two")</f>
        <v>26.4% then project A is the better of the two</v>
      </c>
      <c r="E156" s="2" t="str">
        <f ca="1">ROUND(100*G150,1) &amp; IF(J150&lt;J151,"% then project A is the better of the two","% then project B is the better of the two")</f>
        <v>26.4% then project B is the better of the two</v>
      </c>
    </row>
    <row r="157" spans="1:13" x14ac:dyDescent="0.35">
      <c r="C157" s="15"/>
      <c r="D157" s="2" t="str">
        <f ca="1">ROUND(100*G151,1) &amp; IF(K150&gt;K151,"% then project A is the better of the two","% then project B is the better of the two")</f>
        <v>18.3% then project A is the better of the two</v>
      </c>
      <c r="E157" s="2" t="str">
        <f ca="1">ROUND(100*G151,1) &amp; IF(K150&lt;K151,"% then project A is the better of the two","% then project B is the better of the two")</f>
        <v>18.3% then project B is the better of the two</v>
      </c>
    </row>
    <row r="158" spans="1:13" x14ac:dyDescent="0.35">
      <c r="C158" s="15">
        <f ca="1">G153</f>
        <v>9.5554427544058074E-2</v>
      </c>
      <c r="D158" s="2" t="str">
        <f ca="1">ROUND(100*C158,2) &amp; "% then projects A and B create the same amount of wealth"</f>
        <v>9.56% then projects A and B create the same amount of wealth</v>
      </c>
      <c r="E158" s="62" t="str">
        <f ca="1">ROUND(100*(C158+(IF(RANDBETWEEN(0,1)=0,1,-1))*0.009),2) &amp; "% then projects A and B create the same amount of wealth"</f>
        <v>10.46% then projects A and B create the same amount of wealth</v>
      </c>
    </row>
    <row r="159" spans="1:13" x14ac:dyDescent="0.35">
      <c r="C159" s="14">
        <f ca="1">MIN(G150,G151)/2</f>
        <v>9.1701349931930354E-2</v>
      </c>
      <c r="D159" s="2" t="str">
        <f ca="1">ROUND(100*C159,1) &amp; IF(L150&gt;L151,"% then project A is the better of the two","% then project B is the better of the two")</f>
        <v>9.2% then project B is the better of the two</v>
      </c>
      <c r="E159" s="2" t="str">
        <f ca="1">ROUND(100*C159,1) &amp; IF(L150&lt;L151,"% then project A is the better of the two","% then project B is the better of the two")</f>
        <v>9.2% then project A is the better of the two</v>
      </c>
    </row>
    <row r="160" spans="1:13" x14ac:dyDescent="0.35">
      <c r="C160" s="15">
        <f ca="1">(G150+G151)/2</f>
        <v>0.22383844862801006</v>
      </c>
      <c r="D160" s="2" t="str">
        <f ca="1">ROUND(100*C160,1) &amp; IF(M150&gt;M151,"% then project A is the better of the two","% then project B is the better of the two")</f>
        <v>22.4% then project A is the better of the two</v>
      </c>
      <c r="E160" s="2" t="str">
        <f ca="1">ROUND(100*C160,1) &amp; IF(M150&lt;M151,"% then project A is the better of the two","% then project B is the better of the two")</f>
        <v>22.4% then project B is the better of the two</v>
      </c>
    </row>
    <row r="162" spans="1:12" ht="16" thickBot="1" x14ac:dyDescent="0.4">
      <c r="B162" s="88" t="s">
        <v>2537</v>
      </c>
      <c r="F162" s="88" t="s">
        <v>2612</v>
      </c>
      <c r="J162" s="162" t="s">
        <v>1018</v>
      </c>
    </row>
    <row r="163" spans="1:12" ht="16.5" thickTop="1" thickBot="1" x14ac:dyDescent="0.4">
      <c r="B163" s="76" t="str">
        <f ca="1">[1]!alpha_ans($C$163)</f>
        <v>E</v>
      </c>
      <c r="C163" s="79" t="str">
        <f ca="1" xml:space="preserve"> "/\" &amp;RANDBETWEEN( 1,5) &amp; "/\" &amp;RANDBETWEEN( 1,120) &amp; "/\" &amp;D156 &amp; "/\" &amp; E156 &amp; "/\" &amp; D157 &amp; "/\" &amp; E157 &amp; "/\" &amp; D158 &amp; "/\" &amp; E158 &amp; "/\" &amp; D159 &amp; "/\" &amp; E159 &amp; "/\" &amp; D160 &amp; "/\" &amp; E160</f>
        <v>/\5/\35/\26.4% then project A is the better of the two/\26.4% then project B is the better of the two/\18.3% then project A is the better of the two/\18.3% then project B is the better of the two/\9.56% then projects A and B create the same amount of wealth/\10.46% then projects A and B create the same amount of wealth/\9.2% then project B is the better of the two/\9.2% then project A is the better of the two/\22.4% then project A is the better of the two/\22.4% then project B is the better of the two</v>
      </c>
      <c r="D163" s="80" t="s">
        <v>2538</v>
      </c>
      <c r="F163" s="76" t="str">
        <f ca="1">[1]!std_ans($G$163)</f>
        <v>A</v>
      </c>
      <c r="G163" s="79" t="str">
        <f ca="1" xml:space="preserve"> "/\" &amp;RANDBETWEEN( 1,120) &amp; "/\" &amp;RANDBETWEEN( 1,120) &amp; "/\" &amp;0.1 &amp; "/\" &amp; G153</f>
        <v>/\2/\97/\0.1/\0.0955544275440581</v>
      </c>
      <c r="H163" s="80" t="s">
        <v>3615</v>
      </c>
      <c r="J163" s="76" t="str">
        <f ca="1">[1]!std_ans($K$163)</f>
        <v>A</v>
      </c>
      <c r="K163" s="79" t="str">
        <f ca="1" xml:space="preserve"> "/\" &amp;RANDBETWEEN( 1,120) &amp; "/\" &amp;RANDBETWEEN( 1,120) &amp; "/\" &amp;0.1 &amp; "/\" &amp; I151</f>
        <v>/\15/\54/\0.1/\201.426393920737</v>
      </c>
      <c r="L163" s="80" t="s">
        <v>1019</v>
      </c>
    </row>
    <row r="164" spans="1:12" ht="16" thickTop="1" x14ac:dyDescent="0.35">
      <c r="B164" s="81" t="str">
        <f ca="1">[1]!standardV_A($C$163)</f>
        <v>18.3% then project B is the better of the two</v>
      </c>
      <c r="C164" s="82"/>
      <c r="D164" s="77"/>
      <c r="F164" s="92">
        <f ca="1">[1]!stdnum_A($G$163)</f>
        <v>9.5554427544058101E-2</v>
      </c>
      <c r="G164" s="82"/>
      <c r="H164" s="77"/>
      <c r="J164" s="101">
        <f ca="1">[1]!stdnum_A($K$163)</f>
        <v>201.42639392073701</v>
      </c>
      <c r="K164" s="82"/>
      <c r="L164" s="77"/>
    </row>
    <row r="165" spans="1:12" x14ac:dyDescent="0.35">
      <c r="B165" s="81" t="str">
        <f ca="1">[1]!standardV_B($C$163)</f>
        <v>10.46% then projects A and B create the same amount of wealth</v>
      </c>
      <c r="C165" s="82"/>
      <c r="D165" s="77"/>
      <c r="F165" s="92">
        <f ca="1">[1]!stdnum_B($G$163)</f>
        <v>6.52649597322984E-2</v>
      </c>
      <c r="G165" s="82"/>
      <c r="H165" s="77"/>
      <c r="J165" s="101">
        <f ca="1">[1]!stdnum_B($K$163)</f>
        <v>221.56903331281075</v>
      </c>
      <c r="K165" s="82"/>
      <c r="L165" s="77"/>
    </row>
    <row r="166" spans="1:12" x14ac:dyDescent="0.35">
      <c r="B166" s="81" t="str">
        <f ca="1">[1]!standardV_C($C$163)</f>
        <v>22.4% then project B is the better of the two</v>
      </c>
      <c r="C166" s="82"/>
      <c r="D166" s="77"/>
      <c r="F166" s="92">
        <f ca="1">[1]!stdnum_C($G$163)</f>
        <v>7.1791455705528223E-2</v>
      </c>
      <c r="G166" s="82"/>
      <c r="H166" s="77"/>
      <c r="J166" s="101">
        <f ca="1">[1]!stdnum_C($K$163)</f>
        <v>243.72593664409183</v>
      </c>
      <c r="K166" s="82"/>
      <c r="L166" s="77"/>
    </row>
    <row r="167" spans="1:12" x14ac:dyDescent="0.35">
      <c r="B167" s="81" t="str">
        <f ca="1">[1]!standardV_D($C$163)</f>
        <v>26.4% then project B is the better of the two</v>
      </c>
      <c r="C167" s="82"/>
      <c r="D167" s="77"/>
      <c r="F167" s="92">
        <f ca="1">[1]!stdnum_D($G$163)</f>
        <v>8.6867661403689178E-2</v>
      </c>
      <c r="G167" s="82"/>
      <c r="H167" s="77"/>
      <c r="J167" s="101">
        <f ca="1">[1]!stdnum_D($K$163)</f>
        <v>166.46809414936942</v>
      </c>
      <c r="K167" s="82"/>
      <c r="L167" s="77"/>
    </row>
    <row r="168" spans="1:12" ht="16" thickBot="1" x14ac:dyDescent="0.4">
      <c r="B168" s="83" t="str">
        <f ca="1">[1]!standardV_E($C$163)</f>
        <v>9.2% then project B is the better of the two</v>
      </c>
      <c r="C168" s="84"/>
      <c r="D168" s="78"/>
      <c r="F168" s="93">
        <f ca="1">[1]!stdnum_E($G$163)</f>
        <v>7.8970601276081062E-2</v>
      </c>
      <c r="G168" s="84"/>
      <c r="H168" s="78"/>
      <c r="J168" s="102">
        <f ca="1">[1]!stdnum_E($K$163)</f>
        <v>183.11490356430636</v>
      </c>
      <c r="K168" s="84"/>
      <c r="L168" s="78"/>
    </row>
    <row r="169" spans="1:12" ht="16" thickTop="1" x14ac:dyDescent="0.35"/>
    <row r="171" spans="1:12" x14ac:dyDescent="0.35">
      <c r="A171" s="120" t="s">
        <v>3231</v>
      </c>
    </row>
    <row r="172" spans="1:12" x14ac:dyDescent="0.35">
      <c r="A172" s="107">
        <f ca="1">MIN(vMask20,1/vMask20)*(A173/(1+G172)+A174/(1+G172)^2+A175/(1+G172)^3)</f>
        <v>4125.1474642919693</v>
      </c>
      <c r="B172" s="2" t="s">
        <v>1107</v>
      </c>
      <c r="D172" s="107">
        <f ca="1">MIN(vMask30,1/vMask30)*(D173/(1+G172)+D174/(1+G172)^2)</f>
        <v>2621.034084098093</v>
      </c>
      <c r="E172" s="2" t="s">
        <v>1107</v>
      </c>
      <c r="G172" s="14">
        <f ca="1">RANDBETWEEN(120,160)/1000</f>
        <v>0.128</v>
      </c>
      <c r="H172" s="2" t="s">
        <v>1111</v>
      </c>
    </row>
    <row r="173" spans="1:12" x14ac:dyDescent="0.35">
      <c r="A173" s="107">
        <f ca="1">RANDBETWEEN(15,20)*100</f>
        <v>2000</v>
      </c>
      <c r="B173" s="2" t="s">
        <v>3297</v>
      </c>
      <c r="D173" s="107">
        <f ca="1">RANDBETWEEN(20,23)*100</f>
        <v>2100</v>
      </c>
      <c r="E173" s="2" t="s">
        <v>3297</v>
      </c>
      <c r="G173" s="33">
        <f ca="1">A173/(1+G172)+A174/(1+G172)^2+A175/(1+G172)^3-A172</f>
        <v>1031.2868660729919</v>
      </c>
      <c r="H173" s="2" t="s">
        <v>2671</v>
      </c>
    </row>
    <row r="174" spans="1:12" x14ac:dyDescent="0.35">
      <c r="A174" s="107">
        <f ca="1">RANDBETWEEN(20,25)*100</f>
        <v>2000</v>
      </c>
      <c r="B174" s="2" t="s">
        <v>3298</v>
      </c>
      <c r="D174" s="107">
        <f ca="1">RANDBETWEEN(20,28)*100</f>
        <v>2000</v>
      </c>
      <c r="E174" s="2" t="s">
        <v>3298</v>
      </c>
      <c r="G174" s="33">
        <f ca="1">(D173/(1+G172)+D174/(1+G172)^2)-D172</f>
        <v>812.52056607040913</v>
      </c>
      <c r="H174" s="2" t="s">
        <v>2698</v>
      </c>
    </row>
    <row r="175" spans="1:12" x14ac:dyDescent="0.35">
      <c r="A175" s="107">
        <f ca="1">RANDBETWEEN(25,30)*100</f>
        <v>2600</v>
      </c>
      <c r="B175" s="2" t="s">
        <v>3299</v>
      </c>
      <c r="F175" s="2" t="s">
        <v>2702</v>
      </c>
      <c r="G175" s="33">
        <f ca="1">G173/((1-(1+G172)^(-3))/G172)</f>
        <v>435.29013193803945</v>
      </c>
      <c r="H175" s="2" t="s">
        <v>2699</v>
      </c>
    </row>
    <row r="176" spans="1:12" x14ac:dyDescent="0.35">
      <c r="F176" s="2" t="s">
        <v>2701</v>
      </c>
      <c r="G176" s="33">
        <f ca="1">G174/((1-(1+G172)^(-2))/G172)</f>
        <v>485.82620673821947</v>
      </c>
      <c r="H176" s="2" t="s">
        <v>2700</v>
      </c>
    </row>
    <row r="177" spans="1:9" x14ac:dyDescent="0.35">
      <c r="B177" s="2">
        <f ca="1">(RANDBETWEEN(0,1))</f>
        <v>1</v>
      </c>
      <c r="C177" s="2" t="str">
        <f ca="1">IF(B177=0,F175,F176)</f>
        <v>2-year contract</v>
      </c>
      <c r="D177" s="33">
        <f ca="1">IF(B177=0,G175,G176)</f>
        <v>485.82620673821947</v>
      </c>
    </row>
    <row r="178" spans="1:9" x14ac:dyDescent="0.35">
      <c r="C178" s="2" t="str">
        <f ca="1">IF(B177=1,F175,F176)</f>
        <v>3-year contract</v>
      </c>
    </row>
    <row r="179" spans="1:9" ht="16" thickBot="1" x14ac:dyDescent="0.4"/>
    <row r="180" spans="1:9" ht="16.5" thickTop="1" thickBot="1" x14ac:dyDescent="0.4">
      <c r="B180" s="76" t="str">
        <f ca="1">[1]!alpha_ans($C$180)</f>
        <v>D</v>
      </c>
      <c r="C180" s="79" t="str">
        <f ca="1" xml:space="preserve"> "/\" &amp;RANDBETWEEN( 1,5) &amp; "/\" &amp;RANDBETWEEN( 1,120) &amp; "/\" &amp;RANDBETWEEN( 1,6) &amp; "/\" &amp;RANDBETWEEN( 1,2) &amp; "/\" &amp; D177 &amp; "/\" &amp; "Mask" &amp; "/\" &amp; "Mask" &amp; "/\" &amp; C177 &amp; "/\" &amp; C178</f>
        <v>/\4/\50/\1/\1/\485.826206738219/\Mask/\Mask/\2-year contract/\3-year contract</v>
      </c>
      <c r="D180" s="80" t="s">
        <v>3232</v>
      </c>
    </row>
    <row r="181" spans="1:9" ht="16" thickTop="1" x14ac:dyDescent="0.35">
      <c r="B181" s="110">
        <f ca="1">[1]!onepair_A($C$180)</f>
        <v>558.70013774895199</v>
      </c>
      <c r="C181" s="136" t="str">
        <f ca="1">[1]!onepair_A2($C$180)</f>
        <v>3-year contract</v>
      </c>
      <c r="D181" s="77"/>
    </row>
    <row r="182" spans="1:9" x14ac:dyDescent="0.35">
      <c r="B182" s="110">
        <f ca="1">[1]!onepair_B($C$180)</f>
        <v>485.82620673821901</v>
      </c>
      <c r="C182" s="136" t="str">
        <f ca="1">[1]!onepair_B2($C$180)</f>
        <v>3-year contract</v>
      </c>
      <c r="D182" s="77"/>
    </row>
    <row r="183" spans="1:9" x14ac:dyDescent="0.35">
      <c r="B183" s="110">
        <f ca="1">[1]!onepair_C($C$180)</f>
        <v>558.70013774895199</v>
      </c>
      <c r="C183" s="136" t="str">
        <f ca="1">[1]!onepair_C2($C$180)</f>
        <v>2-year contract</v>
      </c>
      <c r="D183" s="77"/>
    </row>
    <row r="184" spans="1:9" x14ac:dyDescent="0.35">
      <c r="B184" s="110">
        <f ca="1">[1]!onepair_D($C$180)</f>
        <v>485.82620673821901</v>
      </c>
      <c r="C184" s="136" t="str">
        <f ca="1">[1]!onepair_D2($C$180)</f>
        <v>2-year contract</v>
      </c>
      <c r="D184" s="77"/>
    </row>
    <row r="185" spans="1:9" ht="16" thickBot="1" x14ac:dyDescent="0.4">
      <c r="B185" s="111">
        <f ca="1">[1]!onepair_E($C$180)</f>
        <v>642.50515841129504</v>
      </c>
      <c r="C185" s="137" t="str">
        <f ca="1">[1]!onepair_E2($C$180)</f>
        <v>2-year contract</v>
      </c>
      <c r="D185" s="78"/>
    </row>
    <row r="186" spans="1:9" ht="16" thickTop="1" x14ac:dyDescent="0.35"/>
    <row r="188" spans="1:9" x14ac:dyDescent="0.35">
      <c r="A188" s="120" t="s">
        <v>1032</v>
      </c>
    </row>
    <row r="189" spans="1:9" x14ac:dyDescent="0.35">
      <c r="A189" s="107">
        <f ca="1">ROUND((A190/(1+D189)+A191/(1+D189)^2+A192/(1+D189)^3)*(1-D190)*(1-D191),-2)</f>
        <v>3500</v>
      </c>
      <c r="B189" s="2" t="s">
        <v>1107</v>
      </c>
      <c r="D189" s="14">
        <f ca="1">RANDBETWEEN(120,160)/1000</f>
        <v>0.13800000000000001</v>
      </c>
      <c r="E189" s="2" t="s">
        <v>1033</v>
      </c>
      <c r="G189" s="33">
        <f ca="1">-A189</f>
        <v>-3500</v>
      </c>
      <c r="H189" s="2" t="s">
        <v>1107</v>
      </c>
    </row>
    <row r="190" spans="1:9" x14ac:dyDescent="0.35">
      <c r="A190" s="107">
        <f ca="1">RANDBETWEEN(15,20)*500</f>
        <v>7500</v>
      </c>
      <c r="B190" s="2" t="s">
        <v>1034</v>
      </c>
      <c r="D190" s="12">
        <f ca="1">5*RANDBETWEEN(10,17)/100</f>
        <v>0.8</v>
      </c>
      <c r="E190" s="2" t="s">
        <v>1035</v>
      </c>
      <c r="G190" s="33">
        <f ca="1">A190*(1-D190)*(1-D191)+A189*D191/3</f>
        <v>1399.9999999999998</v>
      </c>
      <c r="H190" s="2" t="s">
        <v>1036</v>
      </c>
      <c r="I190" s="33">
        <f ca="1">(1+RANDBETWEEN(16,25)/100)^(IF(RANDBETWEEN(0,1)=0,1,-1))*G190</f>
        <v>1665.9999999999995</v>
      </c>
    </row>
    <row r="191" spans="1:9" x14ac:dyDescent="0.35">
      <c r="A191" s="107">
        <f ca="1">RANDBETWEEN(20,25)*500</f>
        <v>12000</v>
      </c>
      <c r="B191" s="2" t="s">
        <v>1037</v>
      </c>
      <c r="D191" s="12">
        <f ca="1">IF((RANDBETWEEN(0,1))=0,0.3,0.35)</f>
        <v>0.3</v>
      </c>
      <c r="E191" s="2" t="s">
        <v>1038</v>
      </c>
      <c r="G191" s="33">
        <f ca="1">A191*(1-D190)*(1-D191)+A189*D191/3</f>
        <v>2029.9999999999995</v>
      </c>
      <c r="H191" s="2" t="s">
        <v>1039</v>
      </c>
      <c r="I191" s="33">
        <f ca="1">(1+RANDBETWEEN(16,25)/100)^(IF(RANDBETWEEN(0,1)=0,1,-1))*G191</f>
        <v>1735.0427350427349</v>
      </c>
    </row>
    <row r="192" spans="1:9" x14ac:dyDescent="0.35">
      <c r="A192" s="107">
        <f ca="1">RANDBETWEEN(25,30)*500</f>
        <v>13500</v>
      </c>
      <c r="B192" s="2" t="s">
        <v>1040</v>
      </c>
      <c r="D192" s="33">
        <f ca="1">G190/(1+D189)+G191/(1+D189)^2+G192/(1+D189)^3-A189</f>
        <v>817.66453773216381</v>
      </c>
      <c r="E192" s="2" t="s">
        <v>1041</v>
      </c>
      <c r="G192" s="33">
        <f ca="1">A192*(1-D190)*(1-D191)+A189*D191/3</f>
        <v>2239.9999999999995</v>
      </c>
      <c r="H192" s="2" t="s">
        <v>1042</v>
      </c>
      <c r="I192" s="33">
        <f ca="1">(1+RANDBETWEEN(16,25)/100)^(IF(RANDBETWEEN(0,1)=0,1,-1))*G192</f>
        <v>1821.1382113821135</v>
      </c>
    </row>
    <row r="193" spans="1:9" x14ac:dyDescent="0.35">
      <c r="D193" s="15">
        <f ca="1">IRR(G189:G192)</f>
        <v>0.26171790973511522</v>
      </c>
      <c r="E193" s="2" t="s">
        <v>1728</v>
      </c>
    </row>
    <row r="194" spans="1:9" ht="16" thickBot="1" x14ac:dyDescent="0.4"/>
    <row r="195" spans="1:9" ht="16.5" thickTop="1" thickBot="1" x14ac:dyDescent="0.4">
      <c r="B195" s="76" t="str">
        <f ca="1">[1]!alpha_ans($C$195)</f>
        <v>A</v>
      </c>
      <c r="C195" s="79" t="str">
        <f ca="1" xml:space="preserve"> "/\" &amp;RANDBETWEEN( 1,5) &amp; "/\" &amp;RANDBETWEEN( 1,120) &amp; "/\" &amp;RANDBETWEEN( 1,6) &amp; "/\" &amp;RANDBETWEEN( 1,2) &amp; "/\" &amp; D192 &amp; "/\" &amp; "Mask" &amp; "/\" &amp; "Mask" &amp; "/\" &amp; D193 &amp; "/\" &amp; "Mask"</f>
        <v>/\1/\96/\4/\1/\817.664537732164/\Mask/\Mask/\0.261717909735115/\Mask</v>
      </c>
      <c r="D195" s="80" t="s">
        <v>1043</v>
      </c>
      <c r="G195" s="76" t="str">
        <f ca="1">[1]!alpha_ans($H$195)</f>
        <v>C</v>
      </c>
      <c r="H195" s="79" t="str">
        <f ca="1" xml:space="preserve"> "/\" &amp;RANDBETWEEN( 1,5) &amp; "/\" &amp;RANDBETWEEN( 1,3) &amp; "/\" &amp;RANDBETWEEN( 1,2) &amp; "/\" &amp; ROUND(G190,0) &amp; "/\" &amp; ROUND(I190,0) &amp; "/\" &amp; ROUND(G191,0) &amp; "/\" &amp; ROUND(I191,0) &amp; "/\" &amp; ROUND(G192,0) &amp; "/\" &amp; ROUND(I192,0)</f>
        <v>/\3/\1/\1/\1400/\1666/\2030/\1735/\2240/\1821</v>
      </c>
      <c r="I195" s="80" t="s">
        <v>3732</v>
      </c>
    </row>
    <row r="196" spans="1:9" ht="16" thickTop="1" x14ac:dyDescent="0.35">
      <c r="B196" s="101">
        <f ca="1">[1]!onepair_A($C$195)</f>
        <v>817.66453773216404</v>
      </c>
      <c r="C196" s="242">
        <f ca="1">[1]!onepair_A2($C$195)</f>
        <v>0.261717909735115</v>
      </c>
      <c r="D196" s="77"/>
      <c r="G196" s="101" t="str">
        <f ca="1">[1]!complexV_A($H$195)</f>
        <v>1666</v>
      </c>
      <c r="H196" s="82"/>
      <c r="I196" s="77"/>
    </row>
    <row r="197" spans="1:9" x14ac:dyDescent="0.35">
      <c r="B197" s="101">
        <f ca="1">[1]!onepair_B($C$195)</f>
        <v>711.01264150623001</v>
      </c>
      <c r="C197" s="242">
        <f ca="1">[1]!onepair_B2($C$195)</f>
        <v>0.22758079107401299</v>
      </c>
      <c r="D197" s="77"/>
      <c r="G197" s="101" t="str">
        <f ca="1">[1]!complexV_B($H$195)</f>
        <v>1735</v>
      </c>
      <c r="H197" s="82"/>
      <c r="I197" s="77"/>
    </row>
    <row r="198" spans="1:9" x14ac:dyDescent="0.35">
      <c r="B198" s="101">
        <f ca="1">[1]!onepair_C($C$195)</f>
        <v>940.31421839198902</v>
      </c>
      <c r="C198" s="242">
        <f ca="1">[1]!onepair_C2($C$195)</f>
        <v>0.22758079107401299</v>
      </c>
      <c r="D198" s="77"/>
      <c r="G198" s="101" t="str">
        <f ca="1">[1]!complexV_C($H$195)</f>
        <v>2240</v>
      </c>
      <c r="H198" s="82"/>
      <c r="I198" s="77"/>
    </row>
    <row r="199" spans="1:9" x14ac:dyDescent="0.35">
      <c r="B199" s="101">
        <f ca="1">[1]!onepair_D($C$195)</f>
        <v>940.31421839198902</v>
      </c>
      <c r="C199" s="242">
        <f ca="1">[1]!onepair_D2($C$195)</f>
        <v>0.261717909735115</v>
      </c>
      <c r="D199" s="77"/>
      <c r="G199" s="81" t="str">
        <f ca="1">[1]!complexV_D($H$195)</f>
        <v>Two choices, A and B, are correct</v>
      </c>
      <c r="H199" s="82"/>
      <c r="I199" s="77"/>
    </row>
    <row r="200" spans="1:9" ht="16" thickBot="1" x14ac:dyDescent="0.4">
      <c r="B200" s="102">
        <f ca="1">[1]!onepair_E($C$195)</f>
        <v>817.66453773216404</v>
      </c>
      <c r="C200" s="299">
        <f ca="1">[1]!onepair_E2($C$195)</f>
        <v>0.22758079107401299</v>
      </c>
      <c r="D200" s="78"/>
      <c r="G200" s="83" t="str">
        <f ca="1">[1]!complexV_E($H$195)</f>
        <v>The three A-B-C choices are all correct</v>
      </c>
      <c r="H200" s="84"/>
      <c r="I200" s="78"/>
    </row>
    <row r="201" spans="1:9" ht="16" thickTop="1" x14ac:dyDescent="0.35"/>
    <row r="203" spans="1:9" x14ac:dyDescent="0.35">
      <c r="A203" s="88" t="s">
        <v>1854</v>
      </c>
    </row>
    <row r="204" spans="1:9" x14ac:dyDescent="0.35">
      <c r="A204" s="107">
        <f ca="1">ROUND((1+RANDBETWEEN(8,13)/100)^(IF(RANDBETWEEN(0,1)=0,1,-1))*0.8*(A205*C206+A207*C208),-2)</f>
        <v>12600</v>
      </c>
      <c r="B204" s="2" t="s">
        <v>1107</v>
      </c>
      <c r="D204" s="14">
        <f ca="1">12*[1]!irrmixed(A204,A205,C206,A207,C208)</f>
        <v>3.5892074352218382E-2</v>
      </c>
      <c r="E204" s="2" t="s">
        <v>1728</v>
      </c>
    </row>
    <row r="205" spans="1:9" x14ac:dyDescent="0.35">
      <c r="A205" s="107">
        <f ca="1">RANDBETWEEN(15,20)*10</f>
        <v>170</v>
      </c>
      <c r="B205" s="2" t="s">
        <v>714</v>
      </c>
      <c r="D205" s="14">
        <f ca="1">RANDBETWEEN(70,140)/1000</f>
        <v>7.6999999999999999E-2</v>
      </c>
      <c r="E205" s="2" t="s">
        <v>1033</v>
      </c>
    </row>
    <row r="206" spans="1:9" x14ac:dyDescent="0.35">
      <c r="A206" s="2">
        <f ca="1">RANDBETWEEN(2,4)</f>
        <v>4</v>
      </c>
      <c r="B206" s="2" t="s">
        <v>715</v>
      </c>
      <c r="C206" s="2">
        <f ca="1">A206*12</f>
        <v>48</v>
      </c>
    </row>
    <row r="207" spans="1:9" x14ac:dyDescent="0.35">
      <c r="A207" s="107">
        <f ca="1">RANDBETWEEN(21,30)*10</f>
        <v>250</v>
      </c>
      <c r="B207" s="2" t="s">
        <v>3691</v>
      </c>
      <c r="E207" s="6" t="s">
        <v>1289</v>
      </c>
      <c r="F207" s="2" t="str">
        <f ca="1">IF(D204&gt;D205,"does","does not")</f>
        <v>does not</v>
      </c>
    </row>
    <row r="208" spans="1:9" x14ac:dyDescent="0.35">
      <c r="A208" s="2">
        <f ca="1">RANDBETWEEN(2,4)</f>
        <v>2</v>
      </c>
      <c r="B208" s="2" t="s">
        <v>3692</v>
      </c>
      <c r="C208" s="2">
        <f ca="1">A208*12</f>
        <v>24</v>
      </c>
      <c r="E208" s="6" t="s">
        <v>665</v>
      </c>
      <c r="F208" s="2" t="str">
        <f ca="1">IF(D204&lt;D205,"does","does not")</f>
        <v>does</v>
      </c>
    </row>
    <row r="209" spans="1:8" ht="16" thickBot="1" x14ac:dyDescent="0.4"/>
    <row r="210" spans="1:8" ht="16.5" thickTop="1" thickBot="1" x14ac:dyDescent="0.4">
      <c r="B210" s="76" t="str">
        <f ca="1">[1]!alpha_ans($C$210)</f>
        <v>E</v>
      </c>
      <c r="C210" s="79" t="str">
        <f ca="1" xml:space="preserve"> "/\" &amp;RANDBETWEEN( 1,5) &amp; "/\" &amp;RANDBETWEEN( 1,120) &amp; "/\" &amp;RANDBETWEEN( 1,6) &amp; "/\" &amp;RANDBETWEEN( 1,2) &amp; "/\" &amp; D204 &amp; "/\" &amp; "Mask" &amp; "/\" &amp; "Mask" &amp; "/\" &amp; F207 &amp; "/\" &amp; F208</f>
        <v>/\5/\29/\3/\2/\0.0358920743522184/\Mask/\Mask/\does not/\does</v>
      </c>
      <c r="D210" s="80" t="s">
        <v>1853</v>
      </c>
    </row>
    <row r="211" spans="1:8" ht="16" thickTop="1" x14ac:dyDescent="0.35">
      <c r="B211" s="112">
        <f ca="1">[1]!onepair_A($C$210)</f>
        <v>3.1210499436711701E-2</v>
      </c>
      <c r="C211" s="82" t="str">
        <f ca="1">[1]!onepair_A2($C$210)</f>
        <v>does not</v>
      </c>
      <c r="D211" s="77"/>
    </row>
    <row r="212" spans="1:8" x14ac:dyDescent="0.35">
      <c r="B212" s="112">
        <f ca="1">[1]!onepair_B($C$210)</f>
        <v>3.5892074352218403E-2</v>
      </c>
      <c r="C212" s="82" t="str">
        <f ca="1">[1]!onepair_B2($C$210)</f>
        <v>does</v>
      </c>
      <c r="D212" s="77"/>
    </row>
    <row r="213" spans="1:8" x14ac:dyDescent="0.35">
      <c r="B213" s="112">
        <f ca="1">[1]!onepair_C($C$210)</f>
        <v>4.1275885505051201E-2</v>
      </c>
      <c r="C213" s="82" t="str">
        <f ca="1">[1]!onepair_C2($C$210)</f>
        <v>does</v>
      </c>
      <c r="D213" s="77"/>
    </row>
    <row r="214" spans="1:8" x14ac:dyDescent="0.35">
      <c r="B214" s="112">
        <f ca="1">[1]!onepair_D($C$210)</f>
        <v>3.1210499436711701E-2</v>
      </c>
      <c r="C214" s="82" t="str">
        <f ca="1">[1]!onepair_D2($C$210)</f>
        <v>does</v>
      </c>
      <c r="D214" s="77"/>
    </row>
    <row r="215" spans="1:8" ht="16" thickBot="1" x14ac:dyDescent="0.4">
      <c r="B215" s="113">
        <f ca="1">[1]!onepair_E($C$210)</f>
        <v>3.5892074352218403E-2</v>
      </c>
      <c r="C215" s="84" t="str">
        <f ca="1">[1]!onepair_E2($C$210)</f>
        <v>does not</v>
      </c>
      <c r="D215" s="78"/>
    </row>
    <row r="216" spans="1:8" ht="16" thickTop="1" x14ac:dyDescent="0.35"/>
    <row r="218" spans="1:8" x14ac:dyDescent="0.35">
      <c r="A218" s="88" t="s">
        <v>2498</v>
      </c>
    </row>
    <row r="219" spans="1:8" x14ac:dyDescent="0.35">
      <c r="A219" s="107">
        <f ca="1">7000*RANDBETWEEN(7,12)</f>
        <v>70000</v>
      </c>
      <c r="B219" s="2" t="s">
        <v>1107</v>
      </c>
      <c r="G219" s="8">
        <f ca="1">A220*(1-A222)/A223</f>
        <v>49645.669291338585</v>
      </c>
      <c r="H219" s="2" t="s">
        <v>2501</v>
      </c>
    </row>
    <row r="220" spans="1:8" x14ac:dyDescent="0.35">
      <c r="A220" s="107">
        <f ca="1">ROUND((1+RANDBETWEEN(8,13)/100)^(IF(RANDBETWEEN(0,1)=0,1,-1))*A219/A221,-2)</f>
        <v>9700</v>
      </c>
      <c r="B220" s="2" t="s">
        <v>2499</v>
      </c>
      <c r="G220" s="8">
        <f ca="1">-PV(A223,A221,A219*A222/A221)</f>
        <v>14848.413205939736</v>
      </c>
      <c r="H220" s="2" t="s">
        <v>2502</v>
      </c>
    </row>
    <row r="221" spans="1:8" x14ac:dyDescent="0.35">
      <c r="A221" s="2">
        <f ca="1">RANDBETWEEN(4,8)</f>
        <v>8</v>
      </c>
      <c r="B221" s="2" t="s">
        <v>2500</v>
      </c>
      <c r="G221" s="10">
        <f ca="1">G219+G220-A219</f>
        <v>-5505.917502721677</v>
      </c>
      <c r="H221" s="2" t="s">
        <v>3300</v>
      </c>
    </row>
    <row r="222" spans="1:8" x14ac:dyDescent="0.35">
      <c r="A222" s="12">
        <f ca="1">IF((RANDBETWEEN(0,1))=0,0.3,0.35)</f>
        <v>0.35</v>
      </c>
      <c r="B222" s="2" t="s">
        <v>1038</v>
      </c>
    </row>
    <row r="223" spans="1:8" x14ac:dyDescent="0.35">
      <c r="A223" s="14">
        <f ca="1">RANDBETWEEN(120,160)/1000</f>
        <v>0.127</v>
      </c>
      <c r="B223" s="2" t="s">
        <v>1033</v>
      </c>
    </row>
    <row r="224" spans="1:8" ht="16" thickBot="1" x14ac:dyDescent="0.4"/>
    <row r="225" spans="1:6" ht="16.5" thickTop="1" thickBot="1" x14ac:dyDescent="0.4">
      <c r="B225" s="76" t="str">
        <f ca="1">[1]!std_ans($C$225)</f>
        <v>C</v>
      </c>
      <c r="C225" s="79" t="str">
        <f ca="1" xml:space="preserve"> "/\" &amp;RANDBETWEEN( 1,120) &amp; "/\" &amp;RANDBETWEEN( 1,120) &amp; "/\" &amp;0.1 &amp; "/\" &amp; G221</f>
        <v>/\56/\16/\0.1/\-5505.91750272168</v>
      </c>
      <c r="D225" s="80" t="s">
        <v>2503</v>
      </c>
    </row>
    <row r="226" spans="1:6" ht="16" thickTop="1" x14ac:dyDescent="0.35">
      <c r="B226" s="101">
        <f ca="1">[1]!stdnum_A($C$225)</f>
        <v>-6662.1601782932339</v>
      </c>
      <c r="C226" s="82"/>
      <c r="D226" s="77"/>
    </row>
    <row r="227" spans="1:6" x14ac:dyDescent="0.35">
      <c r="B227" s="101">
        <f ca="1">[1]!stdnum_B($C$225)</f>
        <v>-7328.3761961225582</v>
      </c>
      <c r="C227" s="82"/>
      <c r="D227" s="77"/>
    </row>
    <row r="228" spans="1:6" x14ac:dyDescent="0.35">
      <c r="B228" s="101">
        <f ca="1">[1]!stdnum_C($C$225)</f>
        <v>-5505.9175027216797</v>
      </c>
      <c r="C228" s="82"/>
      <c r="D228" s="77"/>
    </row>
    <row r="229" spans="1:6" x14ac:dyDescent="0.35">
      <c r="B229" s="101">
        <f ca="1">[1]!stdnum_D($C$225)</f>
        <v>-6056.5092529938483</v>
      </c>
      <c r="C229" s="82"/>
      <c r="D229" s="77"/>
    </row>
    <row r="230" spans="1:6" ht="16" thickBot="1" x14ac:dyDescent="0.4">
      <c r="B230" s="102">
        <f ca="1">[1]!stdnum_E($C$225)</f>
        <v>-8061.2138157348136</v>
      </c>
      <c r="C230" s="84"/>
      <c r="D230" s="78"/>
    </row>
    <row r="231" spans="1:6" ht="16" thickTop="1" x14ac:dyDescent="0.35"/>
    <row r="233" spans="1:6" x14ac:dyDescent="0.35">
      <c r="A233" s="120" t="s">
        <v>2730</v>
      </c>
    </row>
    <row r="234" spans="1:6" x14ac:dyDescent="0.35">
      <c r="A234" s="8">
        <f ca="1">RANDBETWEEN(18,32)*1000</f>
        <v>27000</v>
      </c>
      <c r="B234" s="2" t="s">
        <v>2795</v>
      </c>
      <c r="D234" s="8">
        <f ca="1">PV(C238,12,-A235)</f>
        <v>9981.8147671896695</v>
      </c>
      <c r="E234" s="138" t="s">
        <v>3109</v>
      </c>
    </row>
    <row r="235" spans="1:6" x14ac:dyDescent="0.35">
      <c r="A235" s="8">
        <f ca="1">RANDBETWEEN(8,14)*100</f>
        <v>900</v>
      </c>
      <c r="B235" s="2" t="s">
        <v>3821</v>
      </c>
      <c r="D235" s="8">
        <f ca="1">PV(C238,12,-A236)*(1+C238)^(-12)+D234</f>
        <v>19555.619173647337</v>
      </c>
      <c r="E235" s="138" t="s">
        <v>3110</v>
      </c>
      <c r="F235" s="35">
        <f ca="1">NPER(C238,-A236,(A234-D234))</f>
        <v>19.218981771202824</v>
      </c>
    </row>
    <row r="236" spans="1:6" x14ac:dyDescent="0.35">
      <c r="A236" s="8">
        <f ca="1">IF(C236&lt;&gt;A235,C236,ROUND((1+RANDBETWEEN(16,25)/100)^(IF(RANDBETWEEN(0,1)=0,1,-1))*A235,-2))</f>
        <v>1000</v>
      </c>
      <c r="B236" s="2" t="s">
        <v>3222</v>
      </c>
      <c r="C236" s="231">
        <f ca="1">RANDBETWEEN(10,14)*100</f>
        <v>1000</v>
      </c>
      <c r="D236" s="8">
        <f ca="1">PV(C238,12,-A237)*(1+C238)^(-24)+D235</f>
        <v>31125.533414505535</v>
      </c>
      <c r="E236" s="138" t="s">
        <v>3111</v>
      </c>
      <c r="F236" s="35">
        <f ca="1">NPER(C238,-A237,(A234-D235))</f>
        <v>5.5336419250010342</v>
      </c>
    </row>
    <row r="237" spans="1:6" x14ac:dyDescent="0.35">
      <c r="A237" s="8">
        <f ca="1">IF(C237&lt;&gt;A236,C237,ROUND((1+RANDBETWEEN(16,25)/100)^(IF(RANDBETWEEN(0,1)=0,1,-1))*A236,-2))</f>
        <v>1400</v>
      </c>
      <c r="B237" s="2" t="s">
        <v>1686</v>
      </c>
      <c r="C237" s="231">
        <f ca="1">RANDBETWEEN(8,14)*100</f>
        <v>1400</v>
      </c>
      <c r="D237" s="35">
        <f ca="1">IF(D235&gt;A234,12+F235,IF(D236&gt;A234,24+F236,"RECALCULATE"))</f>
        <v>29.533641925001035</v>
      </c>
      <c r="E237" s="62" t="s">
        <v>3581</v>
      </c>
    </row>
    <row r="238" spans="1:6" x14ac:dyDescent="0.35">
      <c r="A238" s="14">
        <f ca="1">RANDBETWEEN(120,160)/1000</f>
        <v>0.14799999999999999</v>
      </c>
      <c r="B238" s="2" t="s">
        <v>1033</v>
      </c>
      <c r="C238" s="29">
        <f ca="1">A238/12</f>
        <v>1.2333333333333333E-2</v>
      </c>
    </row>
    <row r="239" spans="1:6" ht="16" thickBot="1" x14ac:dyDescent="0.4"/>
    <row r="240" spans="1:6" ht="16.5" thickTop="1" thickBot="1" x14ac:dyDescent="0.4">
      <c r="B240" s="76" t="str">
        <f ca="1">[1]!std_ans($C$240)</f>
        <v>A</v>
      </c>
      <c r="C240" s="79" t="str">
        <f ca="1" xml:space="preserve"> "/\" &amp;RANDBETWEEN( 1,120) &amp; "/\" &amp;RANDBETWEEN( 1,120) &amp; "/\" &amp;0.1 &amp; "/\" &amp; D237</f>
        <v>/\19/\115/\0.1/\29.533641925001</v>
      </c>
      <c r="D240" s="80" t="s">
        <v>2731</v>
      </c>
    </row>
    <row r="241" spans="1:5" ht="16" thickTop="1" x14ac:dyDescent="0.35">
      <c r="B241" s="365">
        <f ca="1">[1]!stdnum_A($C$240)</f>
        <v>29.533641925001</v>
      </c>
      <c r="C241" s="82"/>
      <c r="D241" s="77"/>
    </row>
    <row r="242" spans="1:5" x14ac:dyDescent="0.35">
      <c r="B242" s="365">
        <f ca="1">[1]!stdnum_B($C$240)</f>
        <v>24.407968533058675</v>
      </c>
      <c r="C242" s="82"/>
      <c r="D242" s="77"/>
    </row>
    <row r="243" spans="1:5" x14ac:dyDescent="0.35">
      <c r="B243" s="365">
        <f ca="1">[1]!stdnum_C($C$240)</f>
        <v>26.848765386364544</v>
      </c>
      <c r="C243" s="82"/>
      <c r="D243" s="77"/>
    </row>
    <row r="244" spans="1:5" x14ac:dyDescent="0.35">
      <c r="B244" s="365">
        <f ca="1">[1]!stdnum_D($C$240)</f>
        <v>20.171874820709647</v>
      </c>
      <c r="C244" s="82"/>
      <c r="D244" s="77"/>
    </row>
    <row r="245" spans="1:5" ht="16" thickBot="1" x14ac:dyDescent="0.4">
      <c r="B245" s="366">
        <f ca="1">[1]!stdnum_E($C$240)</f>
        <v>22.189062302780609</v>
      </c>
      <c r="C245" s="84"/>
      <c r="D245" s="78"/>
    </row>
    <row r="246" spans="1:5" ht="16" thickTop="1" x14ac:dyDescent="0.35"/>
    <row r="248" spans="1:5" x14ac:dyDescent="0.35">
      <c r="A248" s="120" t="s">
        <v>2732</v>
      </c>
    </row>
    <row r="249" spans="1:5" x14ac:dyDescent="0.35">
      <c r="A249" s="8">
        <f ca="1">RANDBETWEEN(18,32)*1000</f>
        <v>20000</v>
      </c>
      <c r="B249" s="2" t="s">
        <v>1107</v>
      </c>
      <c r="D249" s="35">
        <f ca="1">A249/A250</f>
        <v>3.0769230769230771</v>
      </c>
      <c r="E249" s="2" t="s">
        <v>2289</v>
      </c>
    </row>
    <row r="250" spans="1:5" x14ac:dyDescent="0.35">
      <c r="A250" s="8">
        <f ca="1">RANDBETWEEN(8,14)*500</f>
        <v>6500</v>
      </c>
      <c r="B250" s="2" t="s">
        <v>1372</v>
      </c>
    </row>
    <row r="251" spans="1:5" ht="16" thickBot="1" x14ac:dyDescent="0.4"/>
    <row r="252" spans="1:5" ht="16.5" thickTop="1" thickBot="1" x14ac:dyDescent="0.4">
      <c r="B252" s="76" t="str">
        <f ca="1">[1]!std_ans($C$252)</f>
        <v>B</v>
      </c>
      <c r="C252" s="79" t="str">
        <f ca="1" xml:space="preserve"> "/\" &amp;RANDBETWEEN( 1,120) &amp; "/\" &amp;RANDBETWEEN( 1,120) &amp; "/\" &amp;0.1 &amp; "/\" &amp; D249</f>
        <v>/\99/\113/\0.1/\3.07692307692308</v>
      </c>
      <c r="D252" s="80" t="s">
        <v>2733</v>
      </c>
    </row>
    <row r="253" spans="1:5" ht="16" thickTop="1" x14ac:dyDescent="0.35">
      <c r="B253" s="365">
        <f ca="1">[1]!stdnum_A($C$252)</f>
        <v>2.3117378489279332</v>
      </c>
      <c r="C253" s="82"/>
      <c r="D253" s="77"/>
    </row>
    <row r="254" spans="1:5" x14ac:dyDescent="0.35">
      <c r="B254" s="365">
        <f ca="1">[1]!stdnum_B($C$252)</f>
        <v>3.0769230769230802</v>
      </c>
      <c r="C254" s="82"/>
      <c r="D254" s="77"/>
    </row>
    <row r="255" spans="1:5" x14ac:dyDescent="0.35">
      <c r="B255" s="365">
        <f ca="1">[1]!stdnum_C($C$252)</f>
        <v>2.7972027972028002</v>
      </c>
      <c r="C255" s="82"/>
      <c r="D255" s="77"/>
    </row>
    <row r="256" spans="1:5" x14ac:dyDescent="0.35">
      <c r="B256" s="365">
        <f ca="1">[1]!stdnum_D($C$252)</f>
        <v>2.5429116338207272</v>
      </c>
      <c r="C256" s="82"/>
      <c r="D256" s="77"/>
    </row>
    <row r="257" spans="1:8" ht="16" thickBot="1" x14ac:dyDescent="0.4">
      <c r="B257" s="366">
        <f ca="1">[1]!stdnum_E($C$252)</f>
        <v>2.1015798626617577</v>
      </c>
      <c r="C257" s="84"/>
      <c r="D257" s="78"/>
    </row>
    <row r="258" spans="1:8" ht="16" thickTop="1" x14ac:dyDescent="0.35"/>
    <row r="260" spans="1:8" x14ac:dyDescent="0.35">
      <c r="A260" s="120" t="s">
        <v>2734</v>
      </c>
    </row>
    <row r="261" spans="1:8" x14ac:dyDescent="0.35">
      <c r="A261" s="8">
        <f ca="1">RANDBETWEEN(18,32)*1000</f>
        <v>26000</v>
      </c>
      <c r="B261" s="2" t="s">
        <v>1107</v>
      </c>
      <c r="D261" s="35">
        <f ca="1">NPER(A263,-A262,A261)</f>
        <v>5.5169621236885327</v>
      </c>
      <c r="E261" s="2" t="s">
        <v>2738</v>
      </c>
    </row>
    <row r="262" spans="1:8" x14ac:dyDescent="0.35">
      <c r="A262" s="8">
        <f ca="1">RANDBETWEEN(8,14)*500</f>
        <v>7000</v>
      </c>
      <c r="B262" s="2" t="s">
        <v>1372</v>
      </c>
      <c r="D262" s="35">
        <f ca="1">A261/A262</f>
        <v>3.7142857142857144</v>
      </c>
      <c r="E262" s="2" t="s">
        <v>2739</v>
      </c>
    </row>
    <row r="263" spans="1:8" x14ac:dyDescent="0.35">
      <c r="A263" s="14">
        <f ca="1">RANDBETWEEN(120,160)/1000</f>
        <v>0.13600000000000001</v>
      </c>
      <c r="B263" s="2" t="s">
        <v>1033</v>
      </c>
    </row>
    <row r="264" spans="1:8" ht="16" thickBot="1" x14ac:dyDescent="0.4">
      <c r="B264" s="88" t="s">
        <v>2736</v>
      </c>
      <c r="F264" s="88" t="s">
        <v>2737</v>
      </c>
    </row>
    <row r="265" spans="1:8" ht="16.5" thickTop="1" thickBot="1" x14ac:dyDescent="0.4">
      <c r="B265" s="76" t="str">
        <f ca="1">[1]!std_ans($C$265)</f>
        <v>D</v>
      </c>
      <c r="C265" s="79" t="str">
        <f ca="1" xml:space="preserve"> "/\" &amp;RANDBETWEEN( 1,120) &amp; "/\" &amp;RANDBETWEEN( 1,120) &amp; "/\" &amp;0.1 &amp; "/\" &amp; D261</f>
        <v>/\105/\53/\0.1/\5.51696212368853</v>
      </c>
      <c r="D265" s="80" t="s">
        <v>2735</v>
      </c>
      <c r="F265" s="76" t="str">
        <f ca="1">[1]!alpha_ans($G$265)</f>
        <v>D</v>
      </c>
      <c r="G265" s="79" t="str">
        <f ca="1" xml:space="preserve"> "/\" &amp;RANDBETWEEN( 1,5) &amp; "/\" &amp;RANDBETWEEN( 1,120) &amp; "/\" &amp;RANDBETWEEN( 1,6) &amp; "/\" &amp;RANDBETWEEN( 1,2) &amp; "/\" &amp; D261 &amp; "/\" &amp; "Mask" &amp; "/\" &amp; "Mask" &amp; "/\" &amp; D262 &amp; "/\" &amp; "Mask"</f>
        <v>/\4/\54/\1/\2/\5.51696212368853/\Mask/\Mask/\3.71428571428571/\Mask</v>
      </c>
      <c r="H265" s="80" t="s">
        <v>2740</v>
      </c>
    </row>
    <row r="266" spans="1:8" ht="16" thickTop="1" x14ac:dyDescent="0.35">
      <c r="B266" s="365">
        <f ca="1">[1]!stdnum_A($C$265)</f>
        <v>6.0686583360573838</v>
      </c>
      <c r="C266" s="82"/>
      <c r="D266" s="77"/>
      <c r="F266" s="365">
        <f ca="1">[1]!onepair_A($G$265)</f>
        <v>6.3445064422418103</v>
      </c>
      <c r="G266" s="367">
        <f ca="1">[1]!onepair_A2($G$265)</f>
        <v>4.2714285714285696</v>
      </c>
      <c r="H266" s="77"/>
    </row>
    <row r="267" spans="1:8" x14ac:dyDescent="0.35">
      <c r="B267" s="365">
        <f ca="1">[1]!stdnum_B($C$265)</f>
        <v>4.559472829494652</v>
      </c>
      <c r="C267" s="82"/>
      <c r="D267" s="77"/>
      <c r="F267" s="365">
        <f ca="1">[1]!onepair_B($G$265)</f>
        <v>5.51696212368853</v>
      </c>
      <c r="G267" s="367">
        <f ca="1">[1]!onepair_B2($G$265)</f>
        <v>4.2714285714285696</v>
      </c>
      <c r="H267" s="77"/>
    </row>
    <row r="268" spans="1:8" x14ac:dyDescent="0.35">
      <c r="B268" s="365">
        <f ca="1">[1]!stdnum_C($C$265)</f>
        <v>6.675524169663122</v>
      </c>
      <c r="C268" s="82"/>
      <c r="D268" s="77"/>
      <c r="F268" s="365">
        <f ca="1">[1]!onepair_C($G$265)</f>
        <v>7.2961824085780798</v>
      </c>
      <c r="G268" s="367">
        <f ca="1">[1]!onepair_C2($G$265)</f>
        <v>4.2714285714285696</v>
      </c>
      <c r="H268" s="77"/>
    </row>
    <row r="269" spans="1:8" x14ac:dyDescent="0.35">
      <c r="B269" s="365">
        <f ca="1">[1]!stdnum_D($C$265)</f>
        <v>5.51696212368853</v>
      </c>
      <c r="C269" s="82"/>
      <c r="D269" s="77"/>
      <c r="F269" s="365">
        <f ca="1">[1]!onepair_D($G$265)</f>
        <v>5.51696212368853</v>
      </c>
      <c r="G269" s="367">
        <f ca="1">[1]!onepair_D2($G$265)</f>
        <v>3.71428571428571</v>
      </c>
      <c r="H269" s="77"/>
    </row>
    <row r="270" spans="1:8" ht="16" thickBot="1" x14ac:dyDescent="0.4">
      <c r="B270" s="366">
        <f ca="1">[1]!stdnum_E($C$265)</f>
        <v>5.0154201124441178</v>
      </c>
      <c r="C270" s="84"/>
      <c r="D270" s="78"/>
      <c r="F270" s="366">
        <f ca="1">[1]!onepair_E($G$265)</f>
        <v>6.3445064422418103</v>
      </c>
      <c r="G270" s="368">
        <f ca="1">[1]!onepair_E2($G$265)</f>
        <v>3.71428571428571</v>
      </c>
      <c r="H270" s="78"/>
    </row>
    <row r="271" spans="1:8" ht="16" thickTop="1" x14ac:dyDescent="0.35"/>
    <row r="273" spans="1:12" x14ac:dyDescent="0.35">
      <c r="A273" s="120" t="s">
        <v>3072</v>
      </c>
    </row>
    <row r="274" spans="1:12" x14ac:dyDescent="0.35">
      <c r="A274" s="8">
        <f ca="1">RANDBETWEEN(18,32)*1000</f>
        <v>30000</v>
      </c>
      <c r="B274" s="2" t="s">
        <v>1107</v>
      </c>
      <c r="E274" s="10" t="str">
        <f ca="1">IF(ABS(A275/A276-A274)&lt;500,"#RECALCULATE",A275/A276-A274)</f>
        <v>#RECALCULATE</v>
      </c>
      <c r="F274" s="2" t="s">
        <v>1041</v>
      </c>
    </row>
    <row r="275" spans="1:12" x14ac:dyDescent="0.35">
      <c r="A275" s="8">
        <f ca="1">RANDBETWEEN(8,14)*500</f>
        <v>4000</v>
      </c>
      <c r="B275" s="2" t="s">
        <v>1372</v>
      </c>
      <c r="E275" s="14">
        <f ca="1">A275/A274</f>
        <v>0.13333333333333333</v>
      </c>
      <c r="F275" s="2" t="s">
        <v>1728</v>
      </c>
    </row>
    <row r="276" spans="1:12" x14ac:dyDescent="0.35">
      <c r="A276" s="14">
        <f ca="1">RANDBETWEEN(120,160)/1000</f>
        <v>0.13200000000000001</v>
      </c>
      <c r="B276" s="2" t="s">
        <v>1033</v>
      </c>
    </row>
    <row r="277" spans="1:12" ht="16" thickBot="1" x14ac:dyDescent="0.4">
      <c r="B277" s="88" t="s">
        <v>3074</v>
      </c>
    </row>
    <row r="278" spans="1:12" ht="16.5" thickTop="1" thickBot="1" x14ac:dyDescent="0.4">
      <c r="B278" s="76" t="str">
        <f ca="1">[1]!alpha_ans($C$278)</f>
        <v>#RECALCULATE</v>
      </c>
      <c r="C278" s="79" t="str">
        <f ca="1" xml:space="preserve"> "/\" &amp;RANDBETWEEN( 1,5) &amp; "/\" &amp;RANDBETWEEN( 1,120) &amp; "/\" &amp;RANDBETWEEN( 1,6) &amp; "/\" &amp;RANDBETWEEN( 1,2) &amp; "/\" &amp; E274 &amp; "/\" &amp; "Mask" &amp; "/\" &amp; "Mask" &amp; "/\" &amp; E275 &amp; "/\" &amp; "Mask"</f>
        <v>/\4/\32/\3/\2/\#RECALCULATE/\Mask/\Mask/\0.133333333333333/\Mask</v>
      </c>
      <c r="D278" s="80" t="s">
        <v>3073</v>
      </c>
      <c r="F278" s="76" t="str">
        <f ca="1">[1]!std_ans($G$278)</f>
        <v>#RECALCULATE</v>
      </c>
      <c r="G278" s="79" t="str">
        <f ca="1" xml:space="preserve"> "/\" &amp;RANDBETWEEN( 1,120) &amp; "/\" &amp;RANDBETWEEN( 1,120) &amp; "/\" &amp;0.1 &amp; "/\" &amp; E274</f>
        <v>/\55/\18/\0.1/\#RECALCULATE</v>
      </c>
      <c r="H278" s="80" t="s">
        <v>2449</v>
      </c>
      <c r="J278" s="76" t="str">
        <f ca="1">[1]!std_ans($K$278)</f>
        <v>A</v>
      </c>
      <c r="K278" s="79" t="str">
        <f ca="1" xml:space="preserve"> "/\" &amp;RANDBETWEEN( 1,120) &amp; "/\" &amp;RANDBETWEEN( 1,120) &amp; "/\" &amp;0.1 &amp; "/\" &amp; E275</f>
        <v>/\11/\109/\0.1/\0.133333333333333</v>
      </c>
      <c r="L278" s="80" t="s">
        <v>2450</v>
      </c>
    </row>
    <row r="279" spans="1:12" ht="16" thickTop="1" x14ac:dyDescent="0.35">
      <c r="B279" s="101">
        <f ca="1">[1]!onepair_A($C$278)</f>
        <v>0</v>
      </c>
      <c r="C279" s="242">
        <f ca="1">[1]!onepair_A2($C$278)</f>
        <v>0.133333333333333</v>
      </c>
      <c r="D279" s="77"/>
      <c r="F279" s="101" t="str">
        <f ca="1">[1]!stdnum_A($G$278)</f>
        <v>#RECALCULATE</v>
      </c>
      <c r="G279" s="82"/>
      <c r="H279" s="77"/>
      <c r="J279" s="92">
        <f ca="1">[1]!stdnum_A($K$278)</f>
        <v>0.133333333333333</v>
      </c>
      <c r="K279" s="82"/>
      <c r="L279" s="77"/>
    </row>
    <row r="280" spans="1:12" x14ac:dyDescent="0.35">
      <c r="B280" s="101">
        <f ca="1">[1]!onepair_B($C$278)</f>
        <v>0</v>
      </c>
      <c r="C280" s="242">
        <f ca="1">[1]!onepair_B2($C$278)</f>
        <v>0.15333333333333299</v>
      </c>
      <c r="D280" s="77"/>
      <c r="F280" s="101" t="str">
        <f ca="1">[1]!stdnum_B($G$278)</f>
        <v>#RECALCULATE</v>
      </c>
      <c r="G280" s="82"/>
      <c r="H280" s="77"/>
      <c r="J280" s="92">
        <f ca="1">[1]!stdnum_B($K$278)</f>
        <v>9.1068460715342511E-2</v>
      </c>
      <c r="K280" s="82"/>
      <c r="L280" s="77"/>
    </row>
    <row r="281" spans="1:12" x14ac:dyDescent="0.35">
      <c r="B281" s="101">
        <f ca="1">[1]!onepair_C($C$278)</f>
        <v>0</v>
      </c>
      <c r="C281" s="242">
        <f ca="1">[1]!onepair_C2($C$278)</f>
        <v>0.15333333333333299</v>
      </c>
      <c r="D281" s="77"/>
      <c r="F281" s="101" t="str">
        <f ca="1">[1]!stdnum_C($G$278)</f>
        <v>#RECALCULATE</v>
      </c>
      <c r="G281" s="82"/>
      <c r="H281" s="77"/>
      <c r="J281" s="92">
        <f ca="1">[1]!stdnum_C($K$278)</f>
        <v>0.12121212121212091</v>
      </c>
      <c r="K281" s="82"/>
      <c r="L281" s="77"/>
    </row>
    <row r="282" spans="1:12" x14ac:dyDescent="0.35">
      <c r="B282" s="101">
        <f ca="1">[1]!onepair_D($C$278)</f>
        <v>0</v>
      </c>
      <c r="C282" s="242">
        <f ca="1">[1]!onepair_D2($C$278)</f>
        <v>0.133333333333333</v>
      </c>
      <c r="D282" s="77"/>
      <c r="F282" s="101" t="str">
        <f ca="1">[1]!stdnum_D($G$278)</f>
        <v>#RECALCULATE</v>
      </c>
      <c r="G282" s="82"/>
      <c r="H282" s="77"/>
      <c r="J282" s="92">
        <f ca="1">[1]!stdnum_D($K$278)</f>
        <v>0.11019283746556445</v>
      </c>
      <c r="K282" s="82"/>
      <c r="L282" s="77"/>
    </row>
    <row r="283" spans="1:12" ht="16" thickBot="1" x14ac:dyDescent="0.4">
      <c r="B283" s="102">
        <f ca="1">[1]!onepair_E($C$278)</f>
        <v>0</v>
      </c>
      <c r="C283" s="299">
        <f ca="1">[1]!onepair_E2($C$278)</f>
        <v>0.133333333333333</v>
      </c>
      <c r="D283" s="78"/>
      <c r="F283" s="102" t="str">
        <f ca="1">[1]!stdnum_E($G$278)</f>
        <v>#RECALCULATE</v>
      </c>
      <c r="G283" s="84"/>
      <c r="H283" s="78"/>
      <c r="J283" s="93">
        <f ca="1">[1]!stdnum_E($K$278)</f>
        <v>0.10017530678687675</v>
      </c>
      <c r="K283" s="84"/>
      <c r="L283" s="78"/>
    </row>
    <row r="284" spans="1:12" ht="16" thickTop="1" x14ac:dyDescent="0.35"/>
    <row r="286" spans="1:12" x14ac:dyDescent="0.35">
      <c r="A286" s="120" t="s">
        <v>2945</v>
      </c>
    </row>
    <row r="287" spans="1:12" x14ac:dyDescent="0.35">
      <c r="A287" s="107">
        <f ca="1">ROUND((1+RANDBETWEEN(8,13)/100)^(IF(RANDBETWEEN(0,1)=0,1,-1))*0.8*(A288*C289+A290*C291),-2)</f>
        <v>12800</v>
      </c>
      <c r="B287" s="2" t="s">
        <v>1107</v>
      </c>
      <c r="D287" s="14">
        <f ca="1">12*[1]!irrmixed(A287,A288,C289,A290,C291)</f>
        <v>8.8340907029467286E-2</v>
      </c>
      <c r="E287" s="2" t="s">
        <v>1728</v>
      </c>
      <c r="F287" s="29"/>
    </row>
    <row r="288" spans="1:12" x14ac:dyDescent="0.35">
      <c r="A288" s="107">
        <f ca="1">RANDBETWEEN(15,20)*10</f>
        <v>190</v>
      </c>
      <c r="B288" s="2" t="s">
        <v>714</v>
      </c>
      <c r="D288" s="14">
        <f ca="1">RANDBETWEEN(50,120)/1000</f>
        <v>8.3000000000000004E-2</v>
      </c>
      <c r="E288" s="2" t="s">
        <v>1033</v>
      </c>
    </row>
    <row r="289" spans="1:8" x14ac:dyDescent="0.35">
      <c r="A289" s="2">
        <f ca="1">RANDBETWEEN(2,4)</f>
        <v>3</v>
      </c>
      <c r="B289" s="2" t="s">
        <v>715</v>
      </c>
      <c r="C289" s="2">
        <f ca="1">A289*12</f>
        <v>36</v>
      </c>
      <c r="D289" s="8">
        <f ca="1">IF(ABS(F289)&gt;30,F289,"#RECALCULATE")</f>
        <v>227.45529999999999</v>
      </c>
      <c r="E289" s="2" t="s">
        <v>1041</v>
      </c>
      <c r="F289" s="8">
        <f ca="1">[1]!npvmixed(A287,D288/12,A288,C289,A290,C291)</f>
        <v>227.45529999999999</v>
      </c>
    </row>
    <row r="290" spans="1:8" x14ac:dyDescent="0.35">
      <c r="A290" s="107">
        <f ca="1">RANDBETWEEN(21,30)*10</f>
        <v>220</v>
      </c>
      <c r="B290" s="2" t="s">
        <v>3691</v>
      </c>
      <c r="E290" s="6"/>
    </row>
    <row r="291" spans="1:8" x14ac:dyDescent="0.35">
      <c r="A291" s="2">
        <f ca="1">RANDBETWEEN(2,4)</f>
        <v>4</v>
      </c>
      <c r="B291" s="2" t="s">
        <v>3692</v>
      </c>
      <c r="C291" s="2">
        <f ca="1">A291*12</f>
        <v>48</v>
      </c>
      <c r="E291" s="6"/>
    </row>
    <row r="293" spans="1:8" ht="16" thickBot="1" x14ac:dyDescent="0.4">
      <c r="B293" s="88" t="s">
        <v>2951</v>
      </c>
      <c r="F293" s="88" t="s">
        <v>1166</v>
      </c>
    </row>
    <row r="294" spans="1:8" ht="16.5" thickTop="1" thickBot="1" x14ac:dyDescent="0.4">
      <c r="B294" s="76" t="str">
        <f ca="1">[1]!std_ans($C$294)</f>
        <v>A</v>
      </c>
      <c r="C294" s="79" t="str">
        <f ca="1" xml:space="preserve"> "/\" &amp;RANDBETWEEN( 1,120) &amp; "/\" &amp;RANDBETWEEN( 1,120) &amp; "/\" &amp;0.1 &amp; "/\" &amp; D289</f>
        <v>/\15/\115/\0.1/\227.4553</v>
      </c>
      <c r="D294" s="80" t="s">
        <v>2950</v>
      </c>
      <c r="F294" s="76" t="str">
        <f ca="1">[1]!alpha_ans($G$294)</f>
        <v>D</v>
      </c>
      <c r="G294" s="79" t="str">
        <f ca="1" xml:space="preserve"> "/\" &amp;RANDBETWEEN( 1,5) &amp; "/\" &amp;RANDBETWEEN( 1,120) &amp; "/\" &amp;RANDBETWEEN( 1,6) &amp; "/\" &amp;RANDBETWEEN( 1,2) &amp; "/\" &amp; D287 &amp; "/\" &amp; "Mask" &amp; "/\" &amp; "Mask" &amp; "/\" &amp; D289 &amp; "/\" &amp; "Mask"</f>
        <v>/\4/\56/\5/\2/\0.0883409070294673/\Mask/\Mask/\227.4553/\Mask</v>
      </c>
      <c r="H294" s="80" t="s">
        <v>1165</v>
      </c>
    </row>
    <row r="295" spans="1:8" ht="16" thickTop="1" x14ac:dyDescent="0.35">
      <c r="B295" s="101">
        <f ca="1">[1]!stdnum_A($C$294)</f>
        <v>227.45529999999999</v>
      </c>
      <c r="C295" s="82"/>
      <c r="D295" s="77"/>
      <c r="F295" s="92">
        <f ca="1">[1]!onepair_A($G$294)</f>
        <v>6.67984174135859E-2</v>
      </c>
      <c r="G295" s="142">
        <f ca="1">IF(ABS([1]!onepair_A2($G$294))&lt;60,"#RECALCULATE",[1]!onepair_A2($G$294))</f>
        <v>261.57359500000001</v>
      </c>
      <c r="H295" s="77"/>
    </row>
    <row r="296" spans="1:8" x14ac:dyDescent="0.35">
      <c r="B296" s="101">
        <f ca="1">[1]!stdnum_B($C$294)</f>
        <v>170.89053343350858</v>
      </c>
      <c r="C296" s="82"/>
      <c r="D296" s="77"/>
      <c r="F296" s="92">
        <f ca="1">[1]!onepair_B($G$294)</f>
        <v>6.67984174135859E-2</v>
      </c>
      <c r="G296" s="142">
        <f ca="1">IF(ABS([1]!onepair_B2($G$294))&lt;60,"#RECALCULATE",[1]!onepair_B2($G$294))</f>
        <v>227.45529999999999</v>
      </c>
      <c r="H296" s="77"/>
    </row>
    <row r="297" spans="1:8" x14ac:dyDescent="0.35">
      <c r="B297" s="101">
        <f ca="1">[1]!stdnum_C($C$294)</f>
        <v>155.35503039409872</v>
      </c>
      <c r="C297" s="82"/>
      <c r="D297" s="77"/>
      <c r="F297" s="92">
        <f ca="1">[1]!onepair_C($G$294)</f>
        <v>8.83409070294673E-2</v>
      </c>
      <c r="G297" s="142">
        <f ca="1">IF(ABS([1]!onepair_C2($G$294))&lt;60,"#RECALCULATE",[1]!onepair_C2($G$294))</f>
        <v>261.57359500000001</v>
      </c>
      <c r="H297" s="77"/>
    </row>
    <row r="298" spans="1:8" x14ac:dyDescent="0.35">
      <c r="B298" s="101">
        <f ca="1">[1]!stdnum_D($C$294)</f>
        <v>206.77754545454545</v>
      </c>
      <c r="C298" s="82"/>
      <c r="D298" s="77"/>
      <c r="F298" s="92">
        <f ca="1">[1]!onepair_D($G$294)</f>
        <v>8.83409070294673E-2</v>
      </c>
      <c r="G298" s="142">
        <f ca="1">IF(ABS([1]!onepair_D2($G$294))&lt;60,"#RECALCULATE",[1]!onepair_D2($G$294))</f>
        <v>227.45529999999999</v>
      </c>
      <c r="H298" s="77"/>
    </row>
    <row r="299" spans="1:8" ht="16" thickBot="1" x14ac:dyDescent="0.4">
      <c r="B299" s="102">
        <f ca="1">[1]!stdnum_E($C$294)</f>
        <v>187.97958677685949</v>
      </c>
      <c r="C299" s="84"/>
      <c r="D299" s="78"/>
      <c r="F299" s="93">
        <f ca="1">[1]!onepair_E($G$294)</f>
        <v>7.6818180025623795E-2</v>
      </c>
      <c r="G299" s="320">
        <f ca="1">IF(ABS([1]!onepair_E2($G$294))&lt;60,"#RECALCULATE",[1]!onepair_E2($G$294))</f>
        <v>227.45529999999999</v>
      </c>
      <c r="H299" s="78"/>
    </row>
    <row r="300" spans="1:8" ht="16" thickTop="1" x14ac:dyDescent="0.35"/>
    <row r="302" spans="1:8" x14ac:dyDescent="0.35">
      <c r="A302" s="120" t="s">
        <v>2946</v>
      </c>
    </row>
    <row r="303" spans="1:8" x14ac:dyDescent="0.35">
      <c r="A303" s="107">
        <f ca="1">ROUND((1+RANDBETWEEN(8,13)/100)^(IF(RANDBETWEEN(0,1)=0,1,-1))*0.7*(A304*A305+A306*A307),-2)</f>
        <v>12900</v>
      </c>
      <c r="B303" s="2" t="s">
        <v>1107</v>
      </c>
      <c r="D303" s="14">
        <f ca="1">[1]!irrmixed(A303,A304,A305,A306,A307)</f>
        <v>5.6398579871618296E-2</v>
      </c>
      <c r="E303" s="2" t="s">
        <v>1728</v>
      </c>
      <c r="F303" s="29"/>
    </row>
    <row r="304" spans="1:8" x14ac:dyDescent="0.35">
      <c r="A304" s="107">
        <f ca="1">RANDBETWEEN(15,20)*100</f>
        <v>1600</v>
      </c>
      <c r="B304" s="2" t="s">
        <v>714</v>
      </c>
      <c r="D304" s="14">
        <f ca="1">RANDBETWEEN(50,120)/1000</f>
        <v>5.0999999999999997E-2</v>
      </c>
      <c r="E304" s="2" t="s">
        <v>1033</v>
      </c>
    </row>
    <row r="305" spans="1:8" x14ac:dyDescent="0.35">
      <c r="A305" s="2">
        <f ca="1">RANDBETWEEN(3,6)</f>
        <v>3</v>
      </c>
      <c r="B305" s="2" t="s">
        <v>715</v>
      </c>
      <c r="D305" s="8">
        <f ca="1">IF(ABS(F305)&gt;30,F305,"#RECALCULATE")</f>
        <v>286.2398</v>
      </c>
      <c r="E305" s="2" t="s">
        <v>1041</v>
      </c>
      <c r="F305" s="8">
        <f ca="1">[1]!npvmixed(A303,D304,A304,A305,A306,A307)</f>
        <v>286.2398</v>
      </c>
    </row>
    <row r="306" spans="1:8" x14ac:dyDescent="0.35">
      <c r="A306" s="107">
        <f ca="1">RANDBETWEEN(21,30)*100</f>
        <v>2900</v>
      </c>
      <c r="B306" s="2" t="s">
        <v>3691</v>
      </c>
      <c r="E306" s="6"/>
    </row>
    <row r="307" spans="1:8" x14ac:dyDescent="0.35">
      <c r="A307" s="2">
        <f ca="1">RANDBETWEEN(2,5)</f>
        <v>4</v>
      </c>
      <c r="B307" s="2" t="s">
        <v>3692</v>
      </c>
      <c r="E307" s="6"/>
    </row>
    <row r="309" spans="1:8" ht="16" thickBot="1" x14ac:dyDescent="0.4">
      <c r="B309" s="88" t="s">
        <v>2949</v>
      </c>
      <c r="F309" s="88" t="s">
        <v>1167</v>
      </c>
    </row>
    <row r="310" spans="1:8" ht="16.5" thickTop="1" thickBot="1" x14ac:dyDescent="0.4">
      <c r="B310" s="76" t="str">
        <f ca="1">[1]!std_ans($C$310)</f>
        <v>D</v>
      </c>
      <c r="C310" s="79" t="str">
        <f ca="1" xml:space="preserve"> "/\" &amp;RANDBETWEEN( 1,120) &amp; "/\" &amp;RANDBETWEEN( 1,120) &amp; "/\" &amp;0.1 &amp; "/\" &amp; D305</f>
        <v>/\107/\45/\0.1/\286.2398</v>
      </c>
      <c r="D310" s="80" t="s">
        <v>2947</v>
      </c>
      <c r="F310" s="76" t="str">
        <f ca="1">[1]!alpha_ans($G$310)</f>
        <v>A</v>
      </c>
      <c r="G310" s="79" t="str">
        <f ca="1" xml:space="preserve"> "/\" &amp;RANDBETWEEN( 1,5) &amp; "/\" &amp;RANDBETWEEN( 1,120) &amp; "/\" &amp;RANDBETWEEN( 1,6) &amp; "/\" &amp;RANDBETWEEN( 1,2) &amp; "/\" &amp; D303 &amp; "/\" &amp; "Mask" &amp; "/\" &amp; "Mask" &amp; "/\" &amp; D305 &amp; "/\" &amp; "Mask"</f>
        <v>/\1/\1/\6/\1/\0.0563985798716183/\Mask/\Mask/\286.2398/\Mask</v>
      </c>
      <c r="H310" s="80" t="s">
        <v>2948</v>
      </c>
    </row>
    <row r="311" spans="1:8" ht="16" thickTop="1" x14ac:dyDescent="0.35">
      <c r="B311" s="101">
        <f ca="1">[1]!stdnum_A($C$310)</f>
        <v>346.35015800000008</v>
      </c>
      <c r="C311" s="82"/>
      <c r="D311" s="77"/>
      <c r="F311" s="92">
        <f ca="1">[1]!onepair_A($G$310)</f>
        <v>5.6398579871618303E-2</v>
      </c>
      <c r="G311" s="142">
        <f ca="1">[1]!onepair_A2($G$310)</f>
        <v>286.2398</v>
      </c>
      <c r="H311" s="77"/>
    </row>
    <row r="312" spans="1:8" x14ac:dyDescent="0.35">
      <c r="B312" s="101">
        <f ca="1">[1]!stdnum_B($C$310)</f>
        <v>380.9851738000001</v>
      </c>
      <c r="C312" s="82"/>
      <c r="D312" s="77"/>
      <c r="F312" s="92">
        <f ca="1">[1]!onepair_B($G$310)</f>
        <v>4.9042243366624598E-2</v>
      </c>
      <c r="G312" s="142">
        <f ca="1">[1]!onepair_B2($G$310)</f>
        <v>286.2398</v>
      </c>
      <c r="H312" s="77"/>
    </row>
    <row r="313" spans="1:8" x14ac:dyDescent="0.35">
      <c r="B313" s="101">
        <f ca="1">[1]!stdnum_C($C$310)</f>
        <v>260.21800000000002</v>
      </c>
      <c r="C313" s="82"/>
      <c r="D313" s="77"/>
      <c r="F313" s="92">
        <f ca="1">[1]!onepair_C($G$310)</f>
        <v>4.9042243366624598E-2</v>
      </c>
      <c r="G313" s="142">
        <f ca="1">[1]!onepair_C2($G$310)</f>
        <v>248.90417391304399</v>
      </c>
      <c r="H313" s="77"/>
    </row>
    <row r="314" spans="1:8" x14ac:dyDescent="0.35">
      <c r="B314" s="101">
        <f ca="1">[1]!stdnum_D($C$310)</f>
        <v>286.2398</v>
      </c>
      <c r="C314" s="82"/>
      <c r="D314" s="77"/>
      <c r="F314" s="92">
        <f ca="1">[1]!onepair_D($G$310)</f>
        <v>4.2645429014456199E-2</v>
      </c>
      <c r="G314" s="142">
        <f ca="1">[1]!onepair_D2($G$310)</f>
        <v>286.2398</v>
      </c>
      <c r="H314" s="77"/>
    </row>
    <row r="315" spans="1:8" ht="16" thickBot="1" x14ac:dyDescent="0.4">
      <c r="B315" s="102">
        <f ca="1">[1]!stdnum_E($C$310)</f>
        <v>314.86378000000002</v>
      </c>
      <c r="C315" s="84"/>
      <c r="D315" s="78"/>
      <c r="F315" s="93">
        <f ca="1">[1]!onepair_E($G$310)</f>
        <v>4.2645429014456199E-2</v>
      </c>
      <c r="G315" s="320">
        <f ca="1">[1]!onepair_E2($G$310)</f>
        <v>248.90417391304399</v>
      </c>
      <c r="H315" s="78"/>
    </row>
    <row r="316" spans="1:8" ht="16" thickTop="1" x14ac:dyDescent="0.35"/>
    <row r="318" spans="1:8" x14ac:dyDescent="0.35">
      <c r="A318" s="120" t="s">
        <v>1059</v>
      </c>
    </row>
    <row r="319" spans="1:8" x14ac:dyDescent="0.35">
      <c r="A319" s="12">
        <f ca="1">RANDBETWEEN(7,12)/100</f>
        <v>0.08</v>
      </c>
      <c r="B319" s="2" t="s">
        <v>800</v>
      </c>
      <c r="C319" s="2">
        <f ca="1">RANDBETWEEN(-1,1)</f>
        <v>0</v>
      </c>
      <c r="D319" s="2" t="s">
        <v>802</v>
      </c>
    </row>
    <row r="320" spans="1:8" x14ac:dyDescent="0.35">
      <c r="A320" s="8">
        <f ca="1">100*(1+A319)+C319</f>
        <v>108</v>
      </c>
      <c r="B320" s="2" t="s">
        <v>801</v>
      </c>
      <c r="C320" s="6" t="s">
        <v>803</v>
      </c>
      <c r="D320" s="2" t="str">
        <f ca="1">IF(C319=0,"NPV is the same for L and H so the company should be indifferent.",IF(C319=1,"Project L creates more capitalized wealth and is better.","Project H creates more capitalized wealth and is better."))</f>
        <v>NPV is the same for L and H so the company should be indifferent.</v>
      </c>
    </row>
    <row r="321" spans="1:6" x14ac:dyDescent="0.35">
      <c r="A321" s="12">
        <f ca="1">RANDBETWEEN(13,18)/100</f>
        <v>0.15</v>
      </c>
      <c r="B321" s="2" t="s">
        <v>806</v>
      </c>
      <c r="C321" s="6" t="s">
        <v>804</v>
      </c>
      <c r="D321" s="2" t="str">
        <f ca="1">IF(C319=0,"Project H creates more capitalized wealth and is better.",IF(C319=1,"NPV is the same for L and H so the company should be indifferent.","Project L creates more capitalized wealth and is better."))</f>
        <v>Project H creates more capitalized wealth and is better.</v>
      </c>
    </row>
    <row r="322" spans="1:6" x14ac:dyDescent="0.35">
      <c r="A322" s="8">
        <f ca="1">100*(1+A321)-C319</f>
        <v>114.99999999999999</v>
      </c>
      <c r="B322" s="2" t="s">
        <v>807</v>
      </c>
      <c r="C322" s="6" t="s">
        <v>805</v>
      </c>
      <c r="D322" s="2" t="str">
        <f ca="1">IF(C319=0,"Project L creates more capitalized wealth and is better.",IF(C319=1,"Project H creates more capitalized wealth and is better.","NPV is the same for L and H so the company should be indifferent."))</f>
        <v>Project L creates more capitalized wealth and is better.</v>
      </c>
    </row>
    <row r="323" spans="1:6" ht="16" thickBot="1" x14ac:dyDescent="0.4"/>
    <row r="324" spans="1:6" ht="16.5" thickTop="1" thickBot="1" x14ac:dyDescent="0.4">
      <c r="B324" s="76" t="str">
        <f ca="1">[1]!threechoice_ans($C$324)</f>
        <v>C</v>
      </c>
      <c r="C324" s="79" t="str">
        <f ca="1" xml:space="preserve"> "/\" &amp;RANDBETWEEN( 1,6) &amp; "/\" &amp; D320 &amp; "/\" &amp; D321 &amp; "/\" &amp; D322</f>
        <v>/\4/\NPV is the same for L and H so the company should be indifferent./\Project H creates more capitalized wealth and is better./\Project L creates more capitalized wealth and is better.</v>
      </c>
      <c r="D324" s="80" t="s">
        <v>808</v>
      </c>
    </row>
    <row r="325" spans="1:6" ht="16" thickTop="1" x14ac:dyDescent="0.35">
      <c r="B325" s="81" t="str">
        <f ca="1">[1]!threechoice_A($C$324)</f>
        <v>Project H creates more capitalized wealth and is better.</v>
      </c>
      <c r="C325" s="82"/>
      <c r="D325" s="77"/>
    </row>
    <row r="326" spans="1:6" x14ac:dyDescent="0.35">
      <c r="B326" s="81" t="str">
        <f ca="1">[1]!threechoice_B($C$324)</f>
        <v>Project L creates more capitalized wealth and is better.</v>
      </c>
      <c r="C326" s="82"/>
      <c r="D326" s="77"/>
    </row>
    <row r="327" spans="1:6" ht="16" thickBot="1" x14ac:dyDescent="0.4">
      <c r="B327" s="83" t="str">
        <f ca="1">[1]!threechoice_C($C$324)</f>
        <v>NPV is the same for L and H so the company should be indifferent.</v>
      </c>
      <c r="C327" s="84"/>
      <c r="D327" s="78"/>
    </row>
    <row r="328" spans="1:6" ht="16" thickTop="1" x14ac:dyDescent="0.35">
      <c r="B328"/>
      <c r="C328"/>
      <c r="D328"/>
    </row>
    <row r="329" spans="1:6" x14ac:dyDescent="0.35">
      <c r="B329"/>
      <c r="C329"/>
      <c r="D329"/>
    </row>
    <row r="330" spans="1:6" x14ac:dyDescent="0.35">
      <c r="A330" s="120" t="s">
        <v>1060</v>
      </c>
    </row>
    <row r="331" spans="1:6" x14ac:dyDescent="0.35">
      <c r="A331" s="12">
        <f ca="1">IF((RANDBETWEEN(0,1))=0,0.3,0.35)</f>
        <v>0.3</v>
      </c>
      <c r="B331" s="2" t="s">
        <v>1038</v>
      </c>
      <c r="E331" s="8">
        <f ca="1">A331*PV(A332,4,-25000)</f>
        <v>21674.856032512642</v>
      </c>
      <c r="F331" s="2" t="s">
        <v>1061</v>
      </c>
    </row>
    <row r="332" spans="1:6" x14ac:dyDescent="0.35">
      <c r="A332" s="14">
        <f ca="1">RANDBETWEEN(90,160)/1000</f>
        <v>0.14399999999999999</v>
      </c>
      <c r="B332" s="2" t="s">
        <v>1033</v>
      </c>
      <c r="E332" s="8">
        <f ca="1">A331*(33330*(1+A332)^(-1)+44440*(1+A332)^(-2)+14820*(1+A332)^(-3)+7410*(1+A332)^(-4))</f>
        <v>23194.750615683628</v>
      </c>
      <c r="F332" s="2" t="s">
        <v>1062</v>
      </c>
    </row>
    <row r="333" spans="1:6" ht="16" thickBot="1" x14ac:dyDescent="0.4"/>
    <row r="334" spans="1:6" ht="16.5" thickTop="1" thickBot="1" x14ac:dyDescent="0.4">
      <c r="B334" s="76" t="str">
        <f ca="1">[1]!alpha_ans($C$334)</f>
        <v>A</v>
      </c>
      <c r="C334" s="79" t="str">
        <f ca="1" xml:space="preserve"> "/\" &amp;RANDBETWEEN( 1,5) &amp; "/\" &amp;RANDBETWEEN( 1,120) &amp; "/\" &amp;RANDBETWEEN( 1,6) &amp; "/\" &amp;RANDBETWEEN( 1,2) &amp; "/\" &amp; E331 &amp; "/\" &amp; "Mask" &amp; "/\" &amp; "Mask" &amp; "/\" &amp; E332 &amp; "/\" &amp; "Mask"</f>
        <v>/\1/\72/\2/\1/\21674.8560325126/\Mask/\Mask/\23194.7506156836/\Mask</v>
      </c>
      <c r="D334" s="80" t="s">
        <v>1063</v>
      </c>
    </row>
    <row r="335" spans="1:6" ht="16" thickTop="1" x14ac:dyDescent="0.35">
      <c r="B335" s="101">
        <f ca="1">[1]!onepair_A($C$334)</f>
        <v>21674.856032512602</v>
      </c>
      <c r="C335" s="142">
        <f ca="1">[1]!onepair_A2($C$334)</f>
        <v>23194.750615683599</v>
      </c>
      <c r="D335" s="77"/>
    </row>
    <row r="336" spans="1:6" x14ac:dyDescent="0.35">
      <c r="B336" s="101">
        <f ca="1">[1]!onepair_B($C$334)</f>
        <v>24926.084437389502</v>
      </c>
      <c r="C336" s="142">
        <f ca="1">[1]!onepair_B2($C$334)</f>
        <v>20169.348361463999</v>
      </c>
      <c r="D336" s="77"/>
    </row>
    <row r="337" spans="1:10" x14ac:dyDescent="0.35">
      <c r="B337" s="101">
        <f ca="1">[1]!onepair_C($C$334)</f>
        <v>24926.084437389502</v>
      </c>
      <c r="C337" s="142">
        <f ca="1">[1]!onepair_C2($C$334)</f>
        <v>23194.750615683599</v>
      </c>
      <c r="D337" s="77"/>
    </row>
    <row r="338" spans="1:10" x14ac:dyDescent="0.35">
      <c r="B338" s="101">
        <f ca="1">[1]!onepair_D($C$334)</f>
        <v>28664.997102997899</v>
      </c>
      <c r="C338" s="142">
        <f ca="1">[1]!onepair_D2($C$334)</f>
        <v>23194.750615683599</v>
      </c>
      <c r="D338" s="77"/>
    </row>
    <row r="339" spans="1:10" ht="16" thickBot="1" x14ac:dyDescent="0.4">
      <c r="B339" s="102">
        <f ca="1">[1]!onepair_E($C$334)</f>
        <v>21674.856032512602</v>
      </c>
      <c r="C339" s="320">
        <f ca="1">[1]!onepair_E2($C$334)</f>
        <v>20169.348361463999</v>
      </c>
      <c r="D339" s="78"/>
    </row>
    <row r="340" spans="1:10" ht="16" thickTop="1" x14ac:dyDescent="0.35"/>
    <row r="342" spans="1:10" x14ac:dyDescent="0.35">
      <c r="A342" s="120" t="s">
        <v>141</v>
      </c>
      <c r="G342" s="4" t="s">
        <v>2599</v>
      </c>
    </row>
    <row r="343" spans="1:10" x14ac:dyDescent="0.35">
      <c r="A343" s="107">
        <f ca="1">ROUND((1+RANDBETWEEN(26,35)/100)^(IF(RANDBETWEEN(0,1)=0,1,-1))*C343,-2)</f>
        <v>162400</v>
      </c>
      <c r="B343" s="2" t="s">
        <v>1107</v>
      </c>
      <c r="C343" s="8">
        <f ca="1">NPV(A354,E344:E347)/((1-A353*H353-(1+A354)^(-4)*(0.5^3*C353+A353*(1-SUM(H343:H346)))))-A344-A345*((1+A354)^4-1)</f>
        <v>124948.24323143488</v>
      </c>
      <c r="E343" s="5" t="s">
        <v>152</v>
      </c>
      <c r="F343" s="5" t="s">
        <v>153</v>
      </c>
      <c r="G343" s="10">
        <f ca="1">-(C344+A345)</f>
        <v>-170700</v>
      </c>
      <c r="H343" s="2">
        <f>0.1429</f>
        <v>0.1429</v>
      </c>
      <c r="I343" s="2" t="s">
        <v>142</v>
      </c>
    </row>
    <row r="344" spans="1:10" x14ac:dyDescent="0.35">
      <c r="A344" s="107">
        <f ca="1">ROUND(RANDBETWEEN(35,70)*E349/1000,-2)</f>
        <v>4900</v>
      </c>
      <c r="B344" s="2" t="s">
        <v>143</v>
      </c>
      <c r="C344" s="10">
        <f ca="1">A343+A344</f>
        <v>167300</v>
      </c>
      <c r="E344" s="33">
        <f ca="1">A349*C347*C353</f>
        <v>13649.999999999998</v>
      </c>
      <c r="F344" s="33">
        <f ca="1">E344+A353*H343*C344</f>
        <v>22017.5095</v>
      </c>
      <c r="G344" s="33">
        <f ca="1">F344</f>
        <v>22017.5095</v>
      </c>
      <c r="H344" s="2">
        <f>0.2449</f>
        <v>0.24490000000000001</v>
      </c>
    </row>
    <row r="345" spans="1:10" x14ac:dyDescent="0.35">
      <c r="A345" s="107">
        <f ca="1">ROUND(RANDBETWEEN(35,70)*E349/1000,-2)</f>
        <v>3400</v>
      </c>
      <c r="B345" s="2" t="s">
        <v>144</v>
      </c>
      <c r="E345" s="33">
        <f ca="1">A350*C347*C353</f>
        <v>30029.999999999996</v>
      </c>
      <c r="F345" s="33">
        <f ca="1">E345+A353*H344*C344</f>
        <v>44370.119500000001</v>
      </c>
      <c r="G345" s="33">
        <f ca="1">F345</f>
        <v>44370.119500000001</v>
      </c>
      <c r="H345" s="2">
        <v>0.1749</v>
      </c>
    </row>
    <row r="346" spans="1:10" x14ac:dyDescent="0.35">
      <c r="A346" s="107">
        <f ca="1">ROUND(RANDBETWEEN(35,70)*E349/1000,-2)</f>
        <v>5700</v>
      </c>
      <c r="B346" s="2" t="s">
        <v>145</v>
      </c>
      <c r="E346" s="33">
        <f ca="1">A351*C347*C353</f>
        <v>40950</v>
      </c>
      <c r="F346" s="33">
        <f ca="1">E346+A353*H345*C344</f>
        <v>51191.269500000002</v>
      </c>
      <c r="G346" s="33">
        <f ca="1">F346</f>
        <v>51191.269500000002</v>
      </c>
      <c r="H346" s="2">
        <v>0.1249</v>
      </c>
      <c r="I346" s="33">
        <f ca="1">C344*(1-SUM(H343:H346))</f>
        <v>52264.520000000004</v>
      </c>
      <c r="J346" s="2" t="s">
        <v>154</v>
      </c>
    </row>
    <row r="347" spans="1:10" x14ac:dyDescent="0.35">
      <c r="A347" s="369">
        <f ca="1">RANDBETWEEN(70,355)/10</f>
        <v>20.8</v>
      </c>
      <c r="B347" s="2" t="s">
        <v>3728</v>
      </c>
      <c r="C347" s="106">
        <f ca="1">A347-A348</f>
        <v>4.1999999999999993</v>
      </c>
      <c r="E347" s="33">
        <f ca="1">A352*C347*C353</f>
        <v>49139.999999999993</v>
      </c>
      <c r="F347" s="33">
        <f ca="1">E347+A353*H346*C344</f>
        <v>56453.519499999995</v>
      </c>
      <c r="G347" s="33">
        <f ca="1">F347+H354+A345</f>
        <v>91341.10149999999</v>
      </c>
      <c r="H347" s="2">
        <v>8.9300000000000004E-2</v>
      </c>
    </row>
    <row r="348" spans="1:10" x14ac:dyDescent="0.35">
      <c r="A348" s="369">
        <f ca="1">ROUND(A347*MIN(vMask20,1/vMask20),1)</f>
        <v>16.600000000000001</v>
      </c>
      <c r="B348" s="2" t="s">
        <v>146</v>
      </c>
      <c r="H348" s="2">
        <v>8.9300000000000004E-2</v>
      </c>
    </row>
    <row r="349" spans="1:10" x14ac:dyDescent="0.35">
      <c r="A349" s="370">
        <f ca="1">RANDBETWEEN(3,6)*1000</f>
        <v>5000</v>
      </c>
      <c r="B349" s="2" t="s">
        <v>147</v>
      </c>
      <c r="D349" s="6" t="s">
        <v>1890</v>
      </c>
      <c r="E349" s="33">
        <f ca="1">NPV(A354,E344:E347)</f>
        <v>93185.946565593913</v>
      </c>
      <c r="F349" s="6" t="s">
        <v>1891</v>
      </c>
      <c r="G349" s="8">
        <f ca="1">ABS(G343)</f>
        <v>170700</v>
      </c>
      <c r="H349" s="2">
        <v>8.9300000000000004E-2</v>
      </c>
    </row>
    <row r="350" spans="1:10" x14ac:dyDescent="0.35">
      <c r="A350" s="370">
        <f ca="1">A349+RANDBETWEEN(3,6)*1000</f>
        <v>11000</v>
      </c>
      <c r="B350" s="2" t="s">
        <v>148</v>
      </c>
      <c r="H350" s="2">
        <f>1-SUM(H343:H349)</f>
        <v>4.4499999999999873E-2</v>
      </c>
    </row>
    <row r="351" spans="1:10" x14ac:dyDescent="0.35">
      <c r="A351" s="370">
        <f ca="1">A350+RANDBETWEEN(3,6)*1000</f>
        <v>15000</v>
      </c>
      <c r="B351" s="2" t="s">
        <v>149</v>
      </c>
    </row>
    <row r="352" spans="1:10" x14ac:dyDescent="0.35">
      <c r="A352" s="370">
        <f ca="1">A351+RANDBETWEEN(3,6)*1000</f>
        <v>18000</v>
      </c>
      <c r="B352" s="2" t="s">
        <v>150</v>
      </c>
      <c r="E352" s="15">
        <f ca="1">IRR(G343:G347)</f>
        <v>7.0218932177174231E-2</v>
      </c>
      <c r="F352" s="2" t="s">
        <v>256</v>
      </c>
      <c r="G352" s="246"/>
      <c r="H352" s="33">
        <f ca="1">A343*0.5^3</f>
        <v>20300</v>
      </c>
      <c r="I352" s="2" t="s">
        <v>151</v>
      </c>
    </row>
    <row r="353" spans="1:9" x14ac:dyDescent="0.35">
      <c r="A353" s="12">
        <f ca="1">IF((RANDBETWEEN(0,1))=0,0.3,0.35)</f>
        <v>0.35</v>
      </c>
      <c r="B353" s="2" t="s">
        <v>1038</v>
      </c>
      <c r="C353" s="34">
        <f ca="1">1-A353</f>
        <v>0.65</v>
      </c>
      <c r="E353" s="10">
        <f ca="1">NPV(A354,G344:G347)+G343</f>
        <v>-26441.632223777095</v>
      </c>
      <c r="F353" s="2" t="s">
        <v>3300</v>
      </c>
      <c r="G353" s="372"/>
      <c r="H353" s="371">
        <f ca="1">NPV(A354,H343:H346)</f>
        <v>0.51192077252605928</v>
      </c>
      <c r="I353" s="2" t="s">
        <v>2502</v>
      </c>
    </row>
    <row r="354" spans="1:9" x14ac:dyDescent="0.35">
      <c r="A354" s="14">
        <f ca="1">RANDBETWEEN(90,160)/1000</f>
        <v>0.13400000000000001</v>
      </c>
      <c r="B354" s="2" t="s">
        <v>1033</v>
      </c>
      <c r="H354" s="33">
        <f ca="1">H352*C353+A353*I346</f>
        <v>31487.581999999999</v>
      </c>
      <c r="I354" s="2" t="s">
        <v>155</v>
      </c>
    </row>
    <row r="355" spans="1:9" x14ac:dyDescent="0.35">
      <c r="H355" s="106"/>
    </row>
    <row r="356" spans="1:9" ht="16" thickBot="1" x14ac:dyDescent="0.4">
      <c r="B356" s="88" t="s">
        <v>157</v>
      </c>
      <c r="F356" s="88" t="s">
        <v>1893</v>
      </c>
    </row>
    <row r="357" spans="1:9" ht="16.5" thickTop="1" thickBot="1" x14ac:dyDescent="0.4">
      <c r="B357" s="76" t="str">
        <f ca="1">[1]!alpha_ans($C$357)</f>
        <v>E</v>
      </c>
      <c r="C357" s="79" t="str">
        <f ca="1" xml:space="preserve"> "/\" &amp;RANDBETWEEN( 1,5) &amp; "/\" &amp;RANDBETWEEN( 1,120) &amp; "/\" &amp;RANDBETWEEN( 1,6) &amp; "/\" &amp;RANDBETWEEN( 1,2) &amp; "/\" &amp; IF(ABS(E353)&lt;1000,"#RECALCULATE",E353) &amp; "/\" &amp; "Mask" &amp; "/\" &amp; "Mask" &amp; "/\" &amp; IF(ABS(E352)&lt;0.04,"#RECALCULATE",E352) &amp; "/\" &amp; "Mask"</f>
        <v>/\5/\42/\3/\2/\-26441.6322237771/\Mask/\Mask/\0.0702189321771742/\Mask</v>
      </c>
      <c r="D357" s="80" t="s">
        <v>156</v>
      </c>
      <c r="F357" s="76" t="str">
        <f ca="1">[1]!std_ans($G$357)</f>
        <v>E</v>
      </c>
      <c r="G357" s="79" t="str">
        <f ca="1" xml:space="preserve"> "/\" &amp;RANDBETWEEN( 1,120) &amp; "/\" &amp;RANDBETWEEN( 1,3) &amp; "/\" &amp;RANDBETWEEN( 1,2) &amp; "/\" &amp;RANDBETWEEN( 1,2) &amp; "/\" &amp;RANDBETWEEN( 1,8)  &amp; "/\" &amp; "Total incremental costs at time 0 equal " &amp; "/\" &amp; "Total incremental cash flow at time 1 equals " &amp; "/\" &amp; "Total incremental cash flow at time 4 equals " &amp; "/\" &amp; G349 &amp; "/\" &amp; G344 &amp; "/\" &amp; G347 &amp; "/\" &amp; "WN"</f>
        <v>/\46/\2/\2/\2/\3/\Total incremental costs at time 0 equal /\Total incremental cash flow at time 1 equals /\Total incremental cash flow at time 4 equals /\170700/\22017.5095/\91341.1015/\WN</v>
      </c>
      <c r="H357" s="80" t="s">
        <v>1892</v>
      </c>
    </row>
    <row r="358" spans="1:9" ht="16" thickTop="1" x14ac:dyDescent="0.35">
      <c r="B358" s="101">
        <f ca="1">[1]!onepair_A($C$357)</f>
        <v>-22992.723672849701</v>
      </c>
      <c r="C358" s="242">
        <f ca="1">[1]!onepair_A2($C$357)</f>
        <v>7.0218932177174204E-2</v>
      </c>
      <c r="D358" s="77"/>
      <c r="F358" s="81" t="str">
        <f ca="1">[1]!threepairs_A($G$357)</f>
        <v xml:space="preserve">Total incremental costs at time 0 equal </v>
      </c>
      <c r="G358" s="142">
        <f ca="1">[1]!threepairs_A2($G$357)</f>
        <v>91341.101500000004</v>
      </c>
      <c r="H358" s="77"/>
    </row>
    <row r="359" spans="1:9" x14ac:dyDescent="0.35">
      <c r="B359" s="101">
        <f ca="1">[1]!onepair_B($C$357)</f>
        <v>-30407.8770573437</v>
      </c>
      <c r="C359" s="242">
        <f ca="1">[1]!onepair_B2($C$357)</f>
        <v>7.0218932177174204E-2</v>
      </c>
      <c r="D359" s="77"/>
      <c r="F359" s="81" t="str">
        <f ca="1">[1]!threepairs_B($G$357)</f>
        <v xml:space="preserve">Total incremental cash flow at time 4 equals </v>
      </c>
      <c r="G359" s="142">
        <f ca="1">[1]!threepairs_B2($G$357)</f>
        <v>22017.5095</v>
      </c>
      <c r="H359" s="77"/>
    </row>
    <row r="360" spans="1:9" x14ac:dyDescent="0.35">
      <c r="B360" s="101">
        <f ca="1">[1]!onepair_C($C$357)</f>
        <v>-30407.8770573437</v>
      </c>
      <c r="C360" s="242">
        <f ca="1">[1]!onepair_C2($C$357)</f>
        <v>8.0751772003750305E-2</v>
      </c>
      <c r="D360" s="77"/>
      <c r="F360" s="81" t="str">
        <f ca="1">[1]!threepairs_C($G$357)</f>
        <v xml:space="preserve">Total incremental cash flow at time 4 equals </v>
      </c>
      <c r="G360" s="142">
        <f ca="1">[1]!threepairs_C2($G$357)</f>
        <v>170700</v>
      </c>
      <c r="H360" s="77"/>
    </row>
    <row r="361" spans="1:9" x14ac:dyDescent="0.35">
      <c r="B361" s="101">
        <f ca="1">[1]!onepair_D($C$357)</f>
        <v>-22992.723672849701</v>
      </c>
      <c r="C361" s="242">
        <f ca="1">[1]!onepair_D2($C$357)</f>
        <v>8.0751772003750305E-2</v>
      </c>
      <c r="D361" s="77"/>
      <c r="F361" s="81" t="str">
        <f ca="1">[1]!threepairs_D($G$357)</f>
        <v xml:space="preserve">Total incremental cash flow at time 1 equals </v>
      </c>
      <c r="G361" s="142">
        <f ca="1">[1]!threepairs_D2($G$357)</f>
        <v>91341.101500000004</v>
      </c>
      <c r="H361" s="77"/>
    </row>
    <row r="362" spans="1:9" ht="16" thickBot="1" x14ac:dyDescent="0.4">
      <c r="B362" s="102">
        <f ca="1">[1]!onepair_E($C$357)</f>
        <v>-26441.632223777098</v>
      </c>
      <c r="C362" s="299">
        <f ca="1">[1]!onepair_E2($C$357)</f>
        <v>7.0218932177174204E-2</v>
      </c>
      <c r="D362" s="78"/>
      <c r="F362" s="83" t="str">
        <f ca="1">[1]!threepairs_E($G$357)</f>
        <v xml:space="preserve">Total incremental cash flow at time 1 equals </v>
      </c>
      <c r="G362" s="320">
        <f ca="1">[1]!threepairs_E2($G$357)</f>
        <v>22017.5095</v>
      </c>
      <c r="H362" s="78"/>
    </row>
    <row r="363" spans="1:9" ht="16" thickTop="1" x14ac:dyDescent="0.35"/>
    <row r="365" spans="1:9" x14ac:dyDescent="0.35">
      <c r="A365" s="120" t="s">
        <v>895</v>
      </c>
    </row>
    <row r="366" spans="1:9" x14ac:dyDescent="0.35">
      <c r="A366" s="8">
        <f ca="1">RANDBETWEEN(30,60)*1000</f>
        <v>50000</v>
      </c>
      <c r="B366" s="2" t="s">
        <v>2416</v>
      </c>
      <c r="D366" s="2">
        <v>0.33329999999999999</v>
      </c>
      <c r="E366" s="2" t="s">
        <v>2417</v>
      </c>
      <c r="G366" s="106">
        <f ca="1">NPV(A368,D366:D369)</f>
        <v>0.81813785060206778</v>
      </c>
      <c r="H366" s="2" t="s">
        <v>2418</v>
      </c>
    </row>
    <row r="367" spans="1:9" x14ac:dyDescent="0.35">
      <c r="A367" s="12">
        <f ca="1">IF((RANDBETWEEN(0,1))=0,0.3,0.35)</f>
        <v>0.35</v>
      </c>
      <c r="B367" s="2" t="s">
        <v>1038</v>
      </c>
      <c r="D367" s="2">
        <v>0.44450000000000001</v>
      </c>
      <c r="G367" s="8">
        <f ca="1">G366*A366*A367</f>
        <v>14317.412385536185</v>
      </c>
      <c r="H367" s="2" t="s">
        <v>2419</v>
      </c>
    </row>
    <row r="368" spans="1:9" x14ac:dyDescent="0.35">
      <c r="A368" s="14">
        <f ca="1">RANDBETWEEN(90,160)/1000</f>
        <v>0.11</v>
      </c>
      <c r="B368" s="2" t="s">
        <v>1033</v>
      </c>
      <c r="D368" s="2">
        <v>0.14810000000000001</v>
      </c>
    </row>
    <row r="369" spans="1:8" x14ac:dyDescent="0.35">
      <c r="D369" s="2">
        <f>1-SUM(D366:D368)</f>
        <v>7.4099999999999944E-2</v>
      </c>
    </row>
    <row r="370" spans="1:8" ht="16" thickBot="1" x14ac:dyDescent="0.4"/>
    <row r="371" spans="1:8" ht="16.5" thickTop="1" thickBot="1" x14ac:dyDescent="0.4">
      <c r="B371" s="76" t="str">
        <f ca="1">[1]!std_ans($C$371)</f>
        <v>B</v>
      </c>
      <c r="C371" s="79" t="str">
        <f ca="1" xml:space="preserve"> "/\" &amp;RANDBETWEEN( 1,120) &amp; "/\" &amp;RANDBETWEEN( 1,120) &amp; "/\" &amp;0.1 &amp; "/\" &amp; G367</f>
        <v>/\27/\4/\0.1/\14317.4123855362</v>
      </c>
      <c r="D371" s="80" t="s">
        <v>2420</v>
      </c>
    </row>
    <row r="372" spans="1:8" ht="16" thickTop="1" x14ac:dyDescent="0.35">
      <c r="B372" s="101">
        <f ca="1">[1]!stdnum_A($C$371)</f>
        <v>15749.15362408982</v>
      </c>
      <c r="C372" s="82"/>
      <c r="D372" s="77"/>
    </row>
    <row r="373" spans="1:8" x14ac:dyDescent="0.35">
      <c r="B373" s="101">
        <f ca="1">[1]!stdnum_B($C$371)</f>
        <v>14317.4123855362</v>
      </c>
      <c r="C373" s="82"/>
      <c r="D373" s="77"/>
    </row>
    <row r="374" spans="1:8" x14ac:dyDescent="0.35">
      <c r="B374" s="101">
        <f ca="1">[1]!stdnum_C($C$371)</f>
        <v>20962.123473663556</v>
      </c>
      <c r="C374" s="82"/>
      <c r="D374" s="77"/>
    </row>
    <row r="375" spans="1:8" x14ac:dyDescent="0.35">
      <c r="B375" s="101">
        <f ca="1">[1]!stdnum_D($C$371)</f>
        <v>19056.475885148688</v>
      </c>
      <c r="C375" s="82"/>
      <c r="D375" s="77"/>
    </row>
    <row r="376" spans="1:8" ht="16" thickBot="1" x14ac:dyDescent="0.4">
      <c r="B376" s="102">
        <f ca="1">[1]!stdnum_E($C$371)</f>
        <v>17324.068986498805</v>
      </c>
      <c r="C376" s="84"/>
      <c r="D376" s="78"/>
    </row>
    <row r="377" spans="1:8" ht="16" thickTop="1" x14ac:dyDescent="0.35"/>
    <row r="379" spans="1:8" x14ac:dyDescent="0.35">
      <c r="A379" s="120" t="s">
        <v>174</v>
      </c>
    </row>
    <row r="380" spans="1:8" x14ac:dyDescent="0.35">
      <c r="A380" s="8">
        <f ca="1">RANDBETWEEN(30,60)*1000</f>
        <v>54000</v>
      </c>
      <c r="B380" s="2" t="s">
        <v>2416</v>
      </c>
      <c r="D380" s="2">
        <v>0.33329999999999999</v>
      </c>
      <c r="E380" s="2" t="s">
        <v>2417</v>
      </c>
      <c r="G380" s="8">
        <f ca="1">A380*(1-SUM(D380:D381))</f>
        <v>11998.799999999997</v>
      </c>
      <c r="H380" s="2" t="s">
        <v>154</v>
      </c>
    </row>
    <row r="381" spans="1:8" x14ac:dyDescent="0.35">
      <c r="A381" s="12">
        <f ca="1">IF((RANDBETWEEN(0,1))=0,0.3,0.35)</f>
        <v>0.35</v>
      </c>
      <c r="B381" s="2" t="s">
        <v>1038</v>
      </c>
      <c r="D381" s="2">
        <v>0.44450000000000001</v>
      </c>
      <c r="G381" s="10">
        <f ca="1">A381*(A382-G380)</f>
        <v>1260.4200000000008</v>
      </c>
      <c r="H381" s="2" t="s">
        <v>897</v>
      </c>
    </row>
    <row r="382" spans="1:8" x14ac:dyDescent="0.35">
      <c r="A382" s="24">
        <f ca="1">ROUND(G380*(1+RANDBETWEEN(26,35)/100)^(IF(RANDBETWEEN(0,1)=0,1,-1)),-2)</f>
        <v>15600</v>
      </c>
      <c r="B382" s="2" t="s">
        <v>896</v>
      </c>
      <c r="D382" s="2">
        <v>0.14810000000000001</v>
      </c>
      <c r="G382" s="10">
        <f ca="1">A382-G381</f>
        <v>14339.58</v>
      </c>
      <c r="H382" s="2" t="s">
        <v>898</v>
      </c>
    </row>
    <row r="383" spans="1:8" x14ac:dyDescent="0.35">
      <c r="D383" s="2">
        <f>1-SUM(D380:D382)</f>
        <v>7.4099999999999944E-2</v>
      </c>
    </row>
    <row r="384" spans="1:8" ht="16" thickBot="1" x14ac:dyDescent="0.4"/>
    <row r="385" spans="1:9" ht="16.5" thickTop="1" thickBot="1" x14ac:dyDescent="0.4">
      <c r="B385" s="76" t="str">
        <f ca="1">[1]!std_ans($C$385)</f>
        <v>D</v>
      </c>
      <c r="C385" s="79" t="str">
        <f ca="1" xml:space="preserve"> "/\" &amp;RANDBETWEEN( 1,120) &amp; "/\" &amp;RANDBETWEEN( 1,120) &amp; "/\" &amp;0.1 &amp; "/\" &amp; G382</f>
        <v>/\57/\55/\0.1/\14339.58</v>
      </c>
      <c r="D385" s="80" t="s">
        <v>2579</v>
      </c>
    </row>
    <row r="386" spans="1:9" ht="16" thickTop="1" x14ac:dyDescent="0.35">
      <c r="B386" s="101">
        <f ca="1">[1]!stdnum_A($C$385)</f>
        <v>11850.89256198347</v>
      </c>
      <c r="C386" s="82"/>
      <c r="D386" s="77"/>
    </row>
    <row r="387" spans="1:9" x14ac:dyDescent="0.35">
      <c r="B387" s="101">
        <f ca="1">[1]!stdnum_B($C$385)</f>
        <v>13035.981818181817</v>
      </c>
      <c r="C387" s="82"/>
      <c r="D387" s="77"/>
    </row>
    <row r="388" spans="1:9" x14ac:dyDescent="0.35">
      <c r="B388" s="101">
        <f ca="1">[1]!stdnum_C($C$385)</f>
        <v>15773.538</v>
      </c>
      <c r="C388" s="82"/>
      <c r="D388" s="77"/>
    </row>
    <row r="389" spans="1:9" x14ac:dyDescent="0.35">
      <c r="B389" s="101">
        <f ca="1">[1]!stdnum_D($C$385)</f>
        <v>14339.58</v>
      </c>
      <c r="C389" s="82"/>
      <c r="D389" s="77"/>
    </row>
    <row r="390" spans="1:9" ht="16" thickBot="1" x14ac:dyDescent="0.4">
      <c r="B390" s="102">
        <f ca="1">[1]!stdnum_E($C$385)</f>
        <v>17350.891800000001</v>
      </c>
      <c r="C390" s="84"/>
      <c r="D390" s="78"/>
    </row>
    <row r="391" spans="1:9" ht="16" thickTop="1" x14ac:dyDescent="0.35"/>
    <row r="393" spans="1:9" x14ac:dyDescent="0.35">
      <c r="A393" s="120" t="s">
        <v>1224</v>
      </c>
      <c r="G393" s="4"/>
    </row>
    <row r="394" spans="1:9" x14ac:dyDescent="0.35">
      <c r="A394" s="107">
        <f ca="1">ROUND((1+RANDBETWEEN(26,35)/100)^(IF(RANDBETWEEN(0,1)=0,1,-1))*E400,-2)</f>
        <v>132900</v>
      </c>
      <c r="B394" s="2" t="s">
        <v>1107</v>
      </c>
      <c r="C394" s="8"/>
      <c r="E394" s="5" t="s">
        <v>1227</v>
      </c>
      <c r="F394" s="5" t="s">
        <v>1228</v>
      </c>
      <c r="G394" s="10">
        <f ca="1">-A394</f>
        <v>-132900</v>
      </c>
      <c r="H394" s="2">
        <v>0.33329999999999999</v>
      </c>
      <c r="I394" s="2" t="s">
        <v>1226</v>
      </c>
    </row>
    <row r="395" spans="1:9" x14ac:dyDescent="0.35">
      <c r="A395" s="107">
        <f ca="1">ROUND(RANDBETWEEN(35,70)*1000,-2)</f>
        <v>58000</v>
      </c>
      <c r="B395" s="2" t="s">
        <v>1225</v>
      </c>
      <c r="C395" s="10"/>
      <c r="E395" s="33">
        <f ca="1">A395*C396</f>
        <v>37700</v>
      </c>
      <c r="F395" s="33">
        <f ca="1">E395+A396*H394*A394</f>
        <v>53203.449499999995</v>
      </c>
      <c r="G395" s="33">
        <f ca="1">F395</f>
        <v>53203.449499999995</v>
      </c>
      <c r="H395" s="2">
        <v>0.44450000000000001</v>
      </c>
    </row>
    <row r="396" spans="1:9" x14ac:dyDescent="0.35">
      <c r="A396" s="12">
        <f ca="1">IF((RANDBETWEEN(0,1))=0,0.3,0.35)</f>
        <v>0.35</v>
      </c>
      <c r="B396" s="2" t="s">
        <v>1038</v>
      </c>
      <c r="C396" s="34">
        <f ca="1">1-A396</f>
        <v>0.65</v>
      </c>
      <c r="E396" s="33">
        <f ca="1">A395*C396</f>
        <v>37700</v>
      </c>
      <c r="F396" s="33">
        <f ca="1">E396+A396*H395*A394</f>
        <v>58375.917499999996</v>
      </c>
      <c r="G396" s="33">
        <f ca="1">F396</f>
        <v>58375.917499999996</v>
      </c>
      <c r="H396" s="2">
        <v>0.14810000000000001</v>
      </c>
    </row>
    <row r="397" spans="1:9" x14ac:dyDescent="0.35">
      <c r="A397" s="14">
        <f ca="1">RANDBETWEEN(90,160)/1000</f>
        <v>9.7000000000000003E-2</v>
      </c>
      <c r="B397" s="2" t="s">
        <v>1033</v>
      </c>
      <c r="E397" s="33">
        <f ca="1">A395*C396</f>
        <v>37700</v>
      </c>
      <c r="F397" s="33">
        <f ca="1">E397+A396*H396*A394</f>
        <v>44588.871500000001</v>
      </c>
      <c r="G397" s="33">
        <f ca="1">F397</f>
        <v>44588.871500000001</v>
      </c>
      <c r="H397" s="2">
        <f>1-SUM(H394:H396)</f>
        <v>7.4099999999999944E-2</v>
      </c>
      <c r="I397" s="33"/>
    </row>
    <row r="398" spans="1:9" x14ac:dyDescent="0.35">
      <c r="A398" s="369"/>
      <c r="C398" s="106"/>
      <c r="E398" s="33">
        <f ca="1">A395*C396</f>
        <v>37700</v>
      </c>
      <c r="F398" s="33">
        <f ca="1">E398+A396*H397*A394</f>
        <v>41146.761500000001</v>
      </c>
      <c r="G398" s="33">
        <f ca="1">F398</f>
        <v>41146.761500000001</v>
      </c>
      <c r="H398" s="371">
        <f ca="1">NPV(A397,H394:H397)</f>
        <v>0.83654828354967825</v>
      </c>
      <c r="I398" s="2" t="s">
        <v>2502</v>
      </c>
    </row>
    <row r="399" spans="1:9" x14ac:dyDescent="0.35">
      <c r="A399" s="369"/>
    </row>
    <row r="400" spans="1:9" x14ac:dyDescent="0.35">
      <c r="A400" s="370"/>
      <c r="D400" s="6"/>
      <c r="E400" s="33">
        <f ca="1">NPV(A397,E395:E398)/(1-A396*H398)</f>
        <v>170083.09993232982</v>
      </c>
      <c r="F400" s="62" t="s">
        <v>1229</v>
      </c>
      <c r="G400" s="8"/>
    </row>
    <row r="401" spans="1:8" x14ac:dyDescent="0.35">
      <c r="A401" s="370"/>
      <c r="E401" s="15">
        <f ca="1">IF(ABS(IRR(G394:G398))&gt;0.04,IRR(G394:G398),"#RECALCULATE")</f>
        <v>0.19004183689765219</v>
      </c>
      <c r="F401" s="2" t="s">
        <v>256</v>
      </c>
    </row>
    <row r="402" spans="1:8" x14ac:dyDescent="0.35">
      <c r="A402" s="370"/>
      <c r="E402" s="10">
        <f ca="1">NPV(A397,G395:G398)+G394</f>
        <v>26296.189483423514</v>
      </c>
      <c r="F402" s="2" t="s">
        <v>3300</v>
      </c>
    </row>
    <row r="403" spans="1:8" x14ac:dyDescent="0.35">
      <c r="A403" s="370"/>
      <c r="G403" s="246"/>
      <c r="H403" s="33"/>
    </row>
    <row r="404" spans="1:8" ht="16" thickBot="1" x14ac:dyDescent="0.4">
      <c r="B404" s="88" t="s">
        <v>1231</v>
      </c>
      <c r="F404" s="88" t="s">
        <v>1233</v>
      </c>
      <c r="G404" s="372"/>
    </row>
    <row r="405" spans="1:8" ht="16.5" thickTop="1" thickBot="1" x14ac:dyDescent="0.4">
      <c r="B405" s="76" t="str">
        <f ca="1">[1]!std_ans($C$405)</f>
        <v>A</v>
      </c>
      <c r="C405" s="79" t="str">
        <f ca="1" xml:space="preserve"> "/\" &amp;RANDBETWEEN( 1,120) &amp; "/\" &amp;RANDBETWEEN( 1,120) &amp; "/\" &amp;0.1 &amp; "/\" &amp; E402</f>
        <v>/\15/\35/\0.1/\26296.1894834235</v>
      </c>
      <c r="D405" s="80" t="s">
        <v>1230</v>
      </c>
      <c r="F405" s="76" t="str">
        <f ca="1">[1]!alpha_ans($G$405)</f>
        <v>C</v>
      </c>
      <c r="G405" s="79" t="str">
        <f ca="1" xml:space="preserve"> "/\" &amp;RANDBETWEEN( 1,5) &amp; "/\" &amp;RANDBETWEEN( 1,120) &amp; "/\" &amp;RANDBETWEEN( 1,6) &amp; "/\" &amp;RANDBETWEEN( 1,2) &amp; "/\" &amp; E401 &amp; "/\" &amp; "Mask" &amp; "/\" &amp; "Mask" &amp; "/\" &amp; E402 &amp; "/\" &amp; "Mask"</f>
        <v>/\3/\63/\1/\2/\0.190041836897652/\Mask/\Mask/\26296.1894834235/\Mask</v>
      </c>
      <c r="H405" s="373" t="s">
        <v>1232</v>
      </c>
    </row>
    <row r="406" spans="1:8" ht="16" thickTop="1" x14ac:dyDescent="0.35">
      <c r="B406" s="101">
        <f ca="1">[1]!stdnum_A($C$405)</f>
        <v>26296.189483423499</v>
      </c>
      <c r="C406" s="82"/>
      <c r="D406" s="77"/>
      <c r="F406" s="92">
        <f ca="1">[1]!onepair_A($G$405)</f>
        <v>0.21854811243229999</v>
      </c>
      <c r="G406" s="142">
        <f ca="1">[1]!onepair_A2($G$405)</f>
        <v>30240.617905937001</v>
      </c>
      <c r="H406" s="77"/>
    </row>
    <row r="407" spans="1:8" x14ac:dyDescent="0.35">
      <c r="B407" s="101">
        <f ca="1">[1]!stdnum_B($C$405)</f>
        <v>23905.626803112271</v>
      </c>
      <c r="C407" s="82"/>
      <c r="D407" s="77"/>
      <c r="F407" s="92">
        <f ca="1">[1]!onepair_B($G$405)</f>
        <v>0.25133032929714499</v>
      </c>
      <c r="G407" s="142">
        <f ca="1">[1]!onepair_B2($G$405)</f>
        <v>26296.189483423499</v>
      </c>
      <c r="H407" s="77"/>
    </row>
    <row r="408" spans="1:8" x14ac:dyDescent="0.35">
      <c r="B408" s="101">
        <f ca="1">[1]!stdnum_C($C$405)</f>
        <v>35000.228202436687</v>
      </c>
      <c r="C408" s="82"/>
      <c r="D408" s="77"/>
      <c r="F408" s="92">
        <f ca="1">[1]!onepair_C($G$405)</f>
        <v>0.190041836897652</v>
      </c>
      <c r="G408" s="142">
        <f ca="1">[1]!onepair_C2($G$405)</f>
        <v>26296.189483423499</v>
      </c>
      <c r="H408" s="77"/>
    </row>
    <row r="409" spans="1:8" x14ac:dyDescent="0.35">
      <c r="B409" s="101">
        <f ca="1">[1]!stdnum_D($C$405)</f>
        <v>28925.80843176585</v>
      </c>
      <c r="C409" s="82"/>
      <c r="D409" s="77"/>
      <c r="F409" s="92">
        <f ca="1">[1]!onepair_D($G$405)</f>
        <v>0.190041836897652</v>
      </c>
      <c r="G409" s="142">
        <f ca="1">[1]!onepair_D2($G$405)</f>
        <v>30240.617905937001</v>
      </c>
      <c r="H409" s="77"/>
    </row>
    <row r="410" spans="1:8" ht="16" thickBot="1" x14ac:dyDescent="0.4">
      <c r="B410" s="102">
        <f ca="1">[1]!stdnum_E($C$405)</f>
        <v>31818.389274942438</v>
      </c>
      <c r="C410" s="84"/>
      <c r="D410" s="78"/>
      <c r="F410" s="93">
        <f ca="1">[1]!onepair_E($G$405)</f>
        <v>0.25133032929714499</v>
      </c>
      <c r="G410" s="320">
        <f ca="1">[1]!onepair_E2($G$405)</f>
        <v>30240.617905937001</v>
      </c>
      <c r="H410" s="78"/>
    </row>
    <row r="411" spans="1:8" ht="16" thickTop="1" x14ac:dyDescent="0.35"/>
    <row r="413" spans="1:8" x14ac:dyDescent="0.35">
      <c r="A413" s="88" t="s">
        <v>1590</v>
      </c>
    </row>
    <row r="414" spans="1:8" x14ac:dyDescent="0.35">
      <c r="A414" s="12">
        <f ca="1">RANDBETWEEN(12,20)/100</f>
        <v>0.2</v>
      </c>
      <c r="B414" s="2" t="s">
        <v>3793</v>
      </c>
    </row>
    <row r="415" spans="1:8" x14ac:dyDescent="0.35">
      <c r="A415" s="287" t="s">
        <v>272</v>
      </c>
      <c r="B415" s="148"/>
      <c r="F415" s="22" t="s">
        <v>2288</v>
      </c>
    </row>
    <row r="416" spans="1:8" x14ac:dyDescent="0.35">
      <c r="A416" s="33">
        <f ca="1">5000*RANDBETWEEN(16,28)</f>
        <v>95000</v>
      </c>
      <c r="B416" s="2" t="s">
        <v>1112</v>
      </c>
      <c r="F416" s="106">
        <f ca="1">A420-A425</f>
        <v>229.22758917577778</v>
      </c>
      <c r="G416" s="2" t="s">
        <v>1843</v>
      </c>
    </row>
    <row r="417" spans="1:8" x14ac:dyDescent="0.35">
      <c r="A417" s="29">
        <f ca="1">RANDBETWEEN(80,100)/1000</f>
        <v>0.08</v>
      </c>
      <c r="B417" s="2" t="s">
        <v>1111</v>
      </c>
      <c r="F417" s="2">
        <f ca="1">C418-A419</f>
        <v>323</v>
      </c>
      <c r="G417" s="2" t="s">
        <v>1844</v>
      </c>
    </row>
    <row r="418" spans="1:8" x14ac:dyDescent="0.35">
      <c r="A418" s="2">
        <f ca="1">5*RANDBETWEEN(3,6)</f>
        <v>30</v>
      </c>
      <c r="B418" s="2" t="s">
        <v>1195</v>
      </c>
      <c r="C418" s="2">
        <f ca="1">12*A418</f>
        <v>360</v>
      </c>
      <c r="F418" s="33">
        <f ca="1">-PV(A414/12,F417,F416)</f>
        <v>13687.626261952917</v>
      </c>
      <c r="G418" s="2" t="s">
        <v>2724</v>
      </c>
    </row>
    <row r="419" spans="1:8" x14ac:dyDescent="0.35">
      <c r="A419" s="2">
        <f ca="1">RANDBETWEEN(25,80)</f>
        <v>37</v>
      </c>
      <c r="B419" s="2" t="s">
        <v>1842</v>
      </c>
      <c r="F419" s="33">
        <f ca="1">-PV(A414/12,A419,A425)/(1+A414/12)^F417+C423</f>
        <v>4032.0681988073929</v>
      </c>
      <c r="G419" s="2" t="s">
        <v>2725</v>
      </c>
    </row>
    <row r="420" spans="1:8" x14ac:dyDescent="0.35">
      <c r="A420" s="106">
        <f ca="1">-PMT(A417/12,C418,A416)</f>
        <v>697.07634518540738</v>
      </c>
      <c r="B420" s="2" t="s">
        <v>1113</v>
      </c>
      <c r="F420" s="33">
        <f ca="1">F418-F419</f>
        <v>9655.5580631455232</v>
      </c>
      <c r="G420" s="2" t="s">
        <v>2848</v>
      </c>
    </row>
    <row r="421" spans="1:8" x14ac:dyDescent="0.35">
      <c r="A421" s="33">
        <f ca="1">-PV(A417/12,C418-A419,A420)</f>
        <v>92335.17272691465</v>
      </c>
      <c r="B421" s="2" t="s">
        <v>690</v>
      </c>
      <c r="F421" s="2">
        <f ca="1">CEILING(C423/F416,1)</f>
        <v>18</v>
      </c>
      <c r="G421" s="2" t="s">
        <v>2289</v>
      </c>
    </row>
    <row r="422" spans="1:8" x14ac:dyDescent="0.35">
      <c r="A422" s="147" t="s">
        <v>691</v>
      </c>
      <c r="F422" s="8">
        <f ca="1">A420*(C418-A419)-A421</f>
        <v>132820.48676797195</v>
      </c>
      <c r="G422" s="2" t="s">
        <v>1880</v>
      </c>
    </row>
    <row r="423" spans="1:8" x14ac:dyDescent="0.35">
      <c r="A423" s="14">
        <f ca="1">RANDBETWEEN(30,50)/1000</f>
        <v>4.2999999999999997E-2</v>
      </c>
      <c r="B423" s="4" t="s">
        <v>3658</v>
      </c>
      <c r="C423" s="8">
        <f ca="1">A423*A421</f>
        <v>3970.4124272573295</v>
      </c>
      <c r="F423" s="33">
        <f ca="1">A425*C418-A421</f>
        <v>76090.379436552015</v>
      </c>
      <c r="G423" s="2" t="s">
        <v>284</v>
      </c>
    </row>
    <row r="424" spans="1:8" x14ac:dyDescent="0.35">
      <c r="A424" s="9">
        <f ca="1">A417-RANDBETWEEN(12,35)/1000</f>
        <v>4.4999999999999998E-2</v>
      </c>
      <c r="B424" s="2" t="s">
        <v>1111</v>
      </c>
      <c r="F424" s="33">
        <f ca="1">F422-F423</f>
        <v>56730.107331419931</v>
      </c>
      <c r="G424" s="2" t="s">
        <v>1441</v>
      </c>
    </row>
    <row r="425" spans="1:8" x14ac:dyDescent="0.35">
      <c r="A425" s="106">
        <f ca="1">-PMT(A424/12,C418,A421)</f>
        <v>467.8487560096296</v>
      </c>
      <c r="B425" s="2" t="s">
        <v>601</v>
      </c>
      <c r="F425" s="385">
        <f ca="1">IF(ABS(H425&lt;0.07),"#RECALCULATE",H425)</f>
        <v>0.69280740134672403</v>
      </c>
      <c r="G425" s="2" t="s">
        <v>1728</v>
      </c>
      <c r="H425" s="14">
        <f ca="1">12*[1]!irrmixed(C423,F416,F417,-A425,A419)</f>
        <v>0.69280740134672403</v>
      </c>
    </row>
  </sheetData>
  <phoneticPr fontId="0" type="noConversion"/>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P354"/>
  <sheetViews>
    <sheetView workbookViewId="0"/>
  </sheetViews>
  <sheetFormatPr defaultColWidth="10.58203125" defaultRowHeight="15.5" x14ac:dyDescent="0.35"/>
  <cols>
    <col min="1" max="16384" width="10.58203125" style="2"/>
  </cols>
  <sheetData>
    <row r="1" spans="1:13" x14ac:dyDescent="0.35">
      <c r="B1" s="22" t="s">
        <v>2626</v>
      </c>
    </row>
    <row r="2" spans="1:13" x14ac:dyDescent="0.35">
      <c r="B2" s="2" t="s">
        <v>2627</v>
      </c>
      <c r="C2" s="2" t="s">
        <v>2628</v>
      </c>
      <c r="D2" s="2" t="s">
        <v>2629</v>
      </c>
      <c r="E2" s="2" t="s">
        <v>2630</v>
      </c>
      <c r="F2" s="2" t="s">
        <v>2631</v>
      </c>
      <c r="G2" s="2" t="s">
        <v>2632</v>
      </c>
      <c r="H2" s="2" t="s">
        <v>2633</v>
      </c>
      <c r="I2" s="2" t="s">
        <v>2634</v>
      </c>
      <c r="J2" s="2" t="s">
        <v>2635</v>
      </c>
      <c r="K2" s="2" t="s">
        <v>2636</v>
      </c>
      <c r="L2" s="2" t="s">
        <v>2637</v>
      </c>
      <c r="M2" s="2" t="s">
        <v>2638</v>
      </c>
    </row>
    <row r="11" spans="1:13" x14ac:dyDescent="0.35">
      <c r="A11" s="88" t="s">
        <v>2344</v>
      </c>
    </row>
    <row r="13" spans="1:13" x14ac:dyDescent="0.35">
      <c r="A13" s="8">
        <f ca="1">1000/(1+A15/2)^A14</f>
        <v>521.8379885735601</v>
      </c>
      <c r="B13" s="2" t="s">
        <v>3728</v>
      </c>
      <c r="D13" s="2">
        <f ca="1">(RANDBETWEEN(0,1))</f>
        <v>0</v>
      </c>
      <c r="E13" s="2" t="str">
        <f ca="1">IF(D13=0,"increase","decrease")</f>
        <v>increase</v>
      </c>
      <c r="F13" s="2" t="s">
        <v>1718</v>
      </c>
      <c r="G13" s="2">
        <f ca="1">IF(D13=0,1,-1)</f>
        <v>1</v>
      </c>
    </row>
    <row r="14" spans="1:13" x14ac:dyDescent="0.35">
      <c r="A14" s="2">
        <f ca="1">(A16-2525)*2+1</f>
        <v>17</v>
      </c>
      <c r="B14" s="2" t="s">
        <v>1845</v>
      </c>
      <c r="E14" s="2">
        <f ca="1">5*RANDBETWEEN(5,18)</f>
        <v>60</v>
      </c>
      <c r="F14" s="2" t="s">
        <v>1719</v>
      </c>
    </row>
    <row r="15" spans="1:13" x14ac:dyDescent="0.35">
      <c r="A15" s="29">
        <f ca="1">RANDBETWEEN(30,90)/1000</f>
        <v>7.8E-2</v>
      </c>
      <c r="B15" s="2" t="s">
        <v>1846</v>
      </c>
      <c r="E15" s="9">
        <f ca="1">A15+G13*E14/10000</f>
        <v>8.4000000000000005E-2</v>
      </c>
      <c r="F15" s="2" t="s">
        <v>1720</v>
      </c>
    </row>
    <row r="16" spans="1:13" x14ac:dyDescent="0.35">
      <c r="A16" s="2">
        <f ca="1">2525 +RANDBETWEEN( 5,20)</f>
        <v>2533</v>
      </c>
      <c r="B16" s="2" t="s">
        <v>631</v>
      </c>
      <c r="E16" s="8">
        <f ca="1">1000/(1+E15/2)^A14</f>
        <v>496.87686673483876</v>
      </c>
      <c r="F16" s="2" t="s">
        <v>1721</v>
      </c>
    </row>
    <row r="17" spans="1:4" ht="16" thickBot="1" x14ac:dyDescent="0.4"/>
    <row r="18" spans="1:4" ht="16.5" thickTop="1" thickBot="1" x14ac:dyDescent="0.4">
      <c r="B18" s="76" t="str">
        <f ca="1">[1]!std_ans($C$18)</f>
        <v>E</v>
      </c>
      <c r="C18" s="79" t="str">
        <f ca="1" xml:space="preserve"> "/\" &amp;RANDBETWEEN( 1,120) &amp; "/\" &amp;RANDBETWEEN( 1,120) &amp; "/\" &amp;0.1 &amp; "/\" &amp; E16</f>
        <v>/\36/\29/\0.1/\496.876866734839</v>
      </c>
      <c r="D18" s="80" t="s">
        <v>1717</v>
      </c>
    </row>
    <row r="19" spans="1:4" ht="16" thickTop="1" x14ac:dyDescent="0.35">
      <c r="B19" s="101">
        <f ca="1">[1]!stdnum_A($C$18)</f>
        <v>451.70624248621726</v>
      </c>
      <c r="C19" s="82"/>
      <c r="D19" s="77"/>
    </row>
    <row r="20" spans="1:4" x14ac:dyDescent="0.35">
      <c r="B20" s="101">
        <f ca="1">[1]!stdnum_B($C$18)</f>
        <v>661.34310962407085</v>
      </c>
      <c r="C20" s="82"/>
      <c r="D20" s="77"/>
    </row>
    <row r="21" spans="1:4" x14ac:dyDescent="0.35">
      <c r="B21" s="101">
        <f ca="1">[1]!stdnum_C($C$18)</f>
        <v>601.22100874915532</v>
      </c>
      <c r="C21" s="82"/>
      <c r="D21" s="77"/>
    </row>
    <row r="22" spans="1:4" x14ac:dyDescent="0.35">
      <c r="B22" s="101">
        <f ca="1">[1]!stdnum_D($C$18)</f>
        <v>546.56455340832292</v>
      </c>
      <c r="C22" s="82"/>
      <c r="D22" s="77"/>
    </row>
    <row r="23" spans="1:4" ht="16" thickBot="1" x14ac:dyDescent="0.4">
      <c r="B23" s="102">
        <f ca="1">[1]!stdnum_E($C$18)</f>
        <v>496.87686673483898</v>
      </c>
      <c r="C23" s="84"/>
      <c r="D23" s="78"/>
    </row>
    <row r="24" spans="1:4" ht="16" thickTop="1" x14ac:dyDescent="0.35"/>
    <row r="26" spans="1:4" x14ac:dyDescent="0.35">
      <c r="A26" s="88" t="s">
        <v>1680</v>
      </c>
    </row>
    <row r="27" spans="1:4" x14ac:dyDescent="0.35">
      <c r="A27" s="29">
        <f ca="1">RANDBETWEEN(30,60)/1000</f>
        <v>3.5000000000000003E-2</v>
      </c>
      <c r="B27" s="2" t="s">
        <v>3180</v>
      </c>
    </row>
    <row r="28" spans="1:4" x14ac:dyDescent="0.35">
      <c r="A28" s="29">
        <f ca="1">RANDBETWEEN(30,90)/1000</f>
        <v>6.5000000000000002E-2</v>
      </c>
      <c r="B28" s="2" t="s">
        <v>3181</v>
      </c>
    </row>
    <row r="29" spans="1:4" x14ac:dyDescent="0.35">
      <c r="A29" s="8">
        <f ca="1">A27*1000/A28</f>
        <v>538.46153846153845</v>
      </c>
      <c r="B29" s="2" t="s">
        <v>1595</v>
      </c>
    </row>
    <row r="30" spans="1:4" ht="16" thickBot="1" x14ac:dyDescent="0.4"/>
    <row r="31" spans="1:4" ht="16.5" thickTop="1" thickBot="1" x14ac:dyDescent="0.4">
      <c r="B31" s="76" t="str">
        <f ca="1">[1]!std_ans($C$31)</f>
        <v>E</v>
      </c>
      <c r="C31" s="79" t="str">
        <f ca="1" xml:space="preserve"> "/\" &amp;RANDBETWEEN( 1,120) &amp; "/\" &amp;RANDBETWEEN( 1,120) &amp; "/\" &amp;0.1 &amp; "/\" &amp; A29</f>
        <v>/\40/\120/\0.1/\538.461538461538</v>
      </c>
      <c r="D31" s="80" t="s">
        <v>1681</v>
      </c>
    </row>
    <row r="32" spans="1:4" ht="16" thickTop="1" x14ac:dyDescent="0.35">
      <c r="B32" s="110">
        <f ca="1">[1]!stdnum_A($C$31)</f>
        <v>489.51048951048909</v>
      </c>
      <c r="C32" s="82"/>
      <c r="D32" s="77"/>
    </row>
    <row r="33" spans="1:4" x14ac:dyDescent="0.35">
      <c r="B33" s="110">
        <f ca="1">[1]!stdnum_B($C$31)</f>
        <v>404.55412356238753</v>
      </c>
      <c r="C33" s="82"/>
      <c r="D33" s="77"/>
    </row>
    <row r="34" spans="1:4" x14ac:dyDescent="0.35">
      <c r="B34" s="110">
        <f ca="1">[1]!stdnum_C($C$31)</f>
        <v>445.0095359186264</v>
      </c>
      <c r="C34" s="82"/>
      <c r="D34" s="77"/>
    </row>
    <row r="35" spans="1:4" x14ac:dyDescent="0.35">
      <c r="B35" s="110">
        <f ca="1">[1]!stdnum_D($C$31)</f>
        <v>367.77647596580687</v>
      </c>
      <c r="C35" s="82"/>
      <c r="D35" s="77"/>
    </row>
    <row r="36" spans="1:4" ht="16" thickBot="1" x14ac:dyDescent="0.4">
      <c r="B36" s="111">
        <f ca="1">[1]!stdnum_E($C$31)</f>
        <v>538.461538461538</v>
      </c>
      <c r="C36" s="84"/>
      <c r="D36" s="78"/>
    </row>
    <row r="37" spans="1:4" ht="16" thickTop="1" x14ac:dyDescent="0.35"/>
    <row r="39" spans="1:4" x14ac:dyDescent="0.35">
      <c r="A39" s="88" t="s">
        <v>103</v>
      </c>
    </row>
    <row r="40" spans="1:4" x14ac:dyDescent="0.35">
      <c r="A40" s="29">
        <f ca="1">RANDBETWEEN(40,75)/1000</f>
        <v>6.6000000000000003E-2</v>
      </c>
      <c r="B40" s="2" t="s">
        <v>3180</v>
      </c>
    </row>
    <row r="41" spans="1:4" x14ac:dyDescent="0.35">
      <c r="A41" s="8">
        <f ca="1">A40*1000/2</f>
        <v>33</v>
      </c>
      <c r="B41" s="2" t="s">
        <v>3701</v>
      </c>
    </row>
    <row r="42" spans="1:4" x14ac:dyDescent="0.35">
      <c r="A42" s="13">
        <f ca="1">RANDBETWEEN(180,360)/10</f>
        <v>26.4</v>
      </c>
      <c r="B42" s="2" t="s">
        <v>3182</v>
      </c>
    </row>
    <row r="43" spans="1:4" x14ac:dyDescent="0.35">
      <c r="A43" s="4" t="str">
        <f ca="1">IF(sign4&gt;0,"increased","decreased")</f>
        <v>increased</v>
      </c>
      <c r="B43" s="2" t="s">
        <v>2880</v>
      </c>
    </row>
    <row r="44" spans="1:4" x14ac:dyDescent="0.35">
      <c r="A44" s="27">
        <f ca="1">1000+sign4*A42</f>
        <v>1026.4000000000001</v>
      </c>
      <c r="B44" s="2" t="s">
        <v>3700</v>
      </c>
    </row>
    <row r="45" spans="1:4" x14ac:dyDescent="0.35">
      <c r="A45" s="9">
        <f ca="1">2*RATE(40,A41,-A44,1000)</f>
        <v>6.3647911558121439E-2</v>
      </c>
      <c r="B45" s="2" t="s">
        <v>3702</v>
      </c>
    </row>
    <row r="46" spans="1:4" x14ac:dyDescent="0.35">
      <c r="A46" s="3">
        <f ca="1">(A45-A40)*10000</f>
        <v>-23.520884418785638</v>
      </c>
      <c r="B46" s="2" t="s">
        <v>1938</v>
      </c>
    </row>
    <row r="47" spans="1:4" ht="16" thickBot="1" x14ac:dyDescent="0.4"/>
    <row r="48" spans="1:4" ht="16.5" thickTop="1" thickBot="1" x14ac:dyDescent="0.4">
      <c r="B48" s="76" t="str">
        <f ca="1">[1]!std_ans($C$48)</f>
        <v>B</v>
      </c>
      <c r="C48" s="79" t="str">
        <f ca="1" xml:space="preserve"> "/\" &amp;RANDBETWEEN( 1,120) &amp; "/\" &amp;RANDBETWEEN( 1,120) &amp; "/\" &amp;0.1 &amp; "/\" &amp; A46</f>
        <v>/\97/\113/\0.1/\-23.5208844187856</v>
      </c>
      <c r="D48" s="80" t="s">
        <v>104</v>
      </c>
    </row>
    <row r="49" spans="1:8" ht="16" thickTop="1" x14ac:dyDescent="0.35">
      <c r="B49" s="81">
        <f ca="1">[1]!stdnum_A($C$48)</f>
        <v>-17.67158859412892</v>
      </c>
      <c r="C49" s="82"/>
      <c r="D49" s="77"/>
    </row>
    <row r="50" spans="1:8" x14ac:dyDescent="0.35">
      <c r="B50" s="81">
        <f ca="1">[1]!stdnum_B($C$48)</f>
        <v>-23.520884418785599</v>
      </c>
      <c r="C50" s="82"/>
      <c r="D50" s="77"/>
    </row>
    <row r="51" spans="1:8" x14ac:dyDescent="0.35">
      <c r="B51" s="81">
        <f ca="1">[1]!stdnum_C($C$48)</f>
        <v>-19.438747453541815</v>
      </c>
      <c r="C51" s="82"/>
      <c r="D51" s="77"/>
    </row>
    <row r="52" spans="1:8" x14ac:dyDescent="0.35">
      <c r="B52" s="81">
        <f ca="1">[1]!stdnum_D($C$48)</f>
        <v>-21.382622198895998</v>
      </c>
      <c r="C52" s="82"/>
      <c r="D52" s="77"/>
    </row>
    <row r="53" spans="1:8" ht="16" thickBot="1" x14ac:dyDescent="0.4">
      <c r="B53" s="83">
        <f ca="1">[1]!stdnum_E($C$48)</f>
        <v>-16.065080540117201</v>
      </c>
      <c r="C53" s="84"/>
      <c r="D53" s="78"/>
    </row>
    <row r="54" spans="1:8" ht="16" thickTop="1" x14ac:dyDescent="0.35"/>
    <row r="56" spans="1:8" x14ac:dyDescent="0.35">
      <c r="A56" s="88" t="s">
        <v>2346</v>
      </c>
    </row>
    <row r="57" spans="1:8" x14ac:dyDescent="0.35">
      <c r="A57" s="151">
        <f ca="1">RANDBETWEEN(30,90)/1000</f>
        <v>3.5999999999999997E-2</v>
      </c>
      <c r="B57" s="2" t="s">
        <v>2293</v>
      </c>
      <c r="D57" s="152">
        <f ca="1">A57*1000/2</f>
        <v>18</v>
      </c>
      <c r="E57" s="2" t="s">
        <v>638</v>
      </c>
    </row>
    <row r="58" spans="1:8" x14ac:dyDescent="0.35">
      <c r="A58" s="153">
        <f ca="1">RANDBETWEEN(2,3)*5</f>
        <v>10</v>
      </c>
      <c r="B58" s="2" t="s">
        <v>3302</v>
      </c>
      <c r="D58" s="2">
        <f ca="1">2*A58</f>
        <v>20</v>
      </c>
      <c r="E58" s="2" t="s">
        <v>639</v>
      </c>
    </row>
    <row r="59" spans="1:8" x14ac:dyDescent="0.35">
      <c r="A59" s="154">
        <f ca="1">1000*(1+RANDBETWEEN(8,13)/100)^(IF(RANDBETWEEN(0,1)=0,1,-1))</f>
        <v>1110</v>
      </c>
      <c r="B59" s="2" t="s">
        <v>2292</v>
      </c>
      <c r="D59" s="29">
        <f ca="1">2*[1]!irrmixed(A59,D57,D58-1,1000+D57,1)</f>
        <v>2.3587304936282145E-2</v>
      </c>
      <c r="E59" s="2" t="s">
        <v>640</v>
      </c>
    </row>
    <row r="61" spans="1:8" ht="16" thickBot="1" x14ac:dyDescent="0.4">
      <c r="B61" s="88" t="s">
        <v>105</v>
      </c>
      <c r="F61" s="88" t="s">
        <v>182</v>
      </c>
    </row>
    <row r="62" spans="1:8" ht="16.5" thickTop="1" thickBot="1" x14ac:dyDescent="0.4">
      <c r="B62" s="76" t="str">
        <f ca="1">[1]!std_ans($C$62)</f>
        <v>B</v>
      </c>
      <c r="C62" s="79" t="str">
        <f ca="1" xml:space="preserve"> "/\" &amp;RANDBETWEEN( 1,120) &amp; "/\" &amp;RANDBETWEEN( 1,120) &amp; "/\" &amp;0.1 &amp; "/\" &amp; A59</f>
        <v>/\28/\65/\0.1/\1110</v>
      </c>
      <c r="D62" s="80" t="s">
        <v>106</v>
      </c>
      <c r="F62" s="76" t="str">
        <f ca="1">[1]!std_ans($G$62)</f>
        <v>E</v>
      </c>
      <c r="G62" s="79" t="str">
        <f ca="1" xml:space="preserve"> "/\" &amp;RANDBETWEEN( 1,120) &amp; "/\" &amp;RANDBETWEEN( 1,120) &amp; "/\" &amp;0.1 &amp; "/\" &amp; D59</f>
        <v>/\82/\36/\0.1/\0.0235873049362821</v>
      </c>
      <c r="H62" s="80" t="s">
        <v>2343</v>
      </c>
    </row>
    <row r="63" spans="1:8" ht="16" thickTop="1" x14ac:dyDescent="0.35">
      <c r="B63" s="110">
        <f ca="1">[1]!stdnum_A($C$62)</f>
        <v>1221</v>
      </c>
      <c r="C63" s="82"/>
      <c r="D63" s="77"/>
      <c r="F63" s="134">
        <f ca="1">[1]!stdnum_A($G$62)</f>
        <v>2.8540638972901346E-2</v>
      </c>
      <c r="G63" s="82"/>
      <c r="H63" s="77"/>
    </row>
    <row r="64" spans="1:8" x14ac:dyDescent="0.35">
      <c r="B64" s="110">
        <f ca="1">[1]!stdnum_B($C$62)</f>
        <v>1110</v>
      </c>
      <c r="C64" s="82"/>
      <c r="D64" s="77"/>
      <c r="F64" s="134">
        <f ca="1">[1]!stdnum_B($G$62)</f>
        <v>2.5946035429910311E-2</v>
      </c>
      <c r="G64" s="82"/>
      <c r="H64" s="77"/>
    </row>
    <row r="65" spans="1:8" x14ac:dyDescent="0.35">
      <c r="B65" s="110">
        <f ca="1">[1]!stdnum_C($C$62)</f>
        <v>917.3553719008263</v>
      </c>
      <c r="C65" s="82"/>
      <c r="D65" s="77"/>
      <c r="F65" s="134">
        <f ca="1">[1]!stdnum_C($G$62)</f>
        <v>3.1394702870191485E-2</v>
      </c>
      <c r="G65" s="82"/>
      <c r="H65" s="77"/>
    </row>
    <row r="66" spans="1:8" x14ac:dyDescent="0.35">
      <c r="B66" s="110">
        <f ca="1">[1]!stdnum_D($C$62)</f>
        <v>1009.090909090909</v>
      </c>
      <c r="C66" s="82"/>
      <c r="D66" s="77"/>
      <c r="F66" s="134">
        <f ca="1">[1]!stdnum_D($G$62)</f>
        <v>2.1443004487529182E-2</v>
      </c>
      <c r="G66" s="82"/>
      <c r="H66" s="77"/>
    </row>
    <row r="67" spans="1:8" ht="16" thickBot="1" x14ac:dyDescent="0.4">
      <c r="B67" s="111">
        <f ca="1">[1]!stdnum_E($C$62)</f>
        <v>1343.1000000000001</v>
      </c>
      <c r="C67" s="84"/>
      <c r="D67" s="78"/>
      <c r="F67" s="135">
        <f ca="1">[1]!stdnum_E($G$62)</f>
        <v>2.35873049362821E-2</v>
      </c>
      <c r="G67" s="84"/>
      <c r="H67" s="78"/>
    </row>
    <row r="68" spans="1:8" ht="16" thickTop="1" x14ac:dyDescent="0.35"/>
    <row r="70" spans="1:8" x14ac:dyDescent="0.35">
      <c r="A70" s="88" t="s">
        <v>2345</v>
      </c>
    </row>
    <row r="71" spans="1:8" x14ac:dyDescent="0.35">
      <c r="A71" s="407" t="s">
        <v>3696</v>
      </c>
      <c r="B71" s="407"/>
      <c r="E71" s="22" t="s">
        <v>222</v>
      </c>
    </row>
    <row r="72" spans="1:8" x14ac:dyDescent="0.35">
      <c r="A72" s="29">
        <f ca="1">RANDBETWEEN(50,105)/1000</f>
        <v>6.0999999999999999E-2</v>
      </c>
      <c r="B72" s="2" t="s">
        <v>3180</v>
      </c>
      <c r="E72" s="13">
        <f ca="1">-PV(A75/2,A74-A77,A73,1000)</f>
        <v>1047.2145392861994</v>
      </c>
      <c r="F72" s="2" t="s">
        <v>1919</v>
      </c>
    </row>
    <row r="73" spans="1:8" x14ac:dyDescent="0.35">
      <c r="A73" s="13">
        <f ca="1">A72*1000/2</f>
        <v>30.5</v>
      </c>
      <c r="B73" s="2" t="s">
        <v>3701</v>
      </c>
    </row>
    <row r="74" spans="1:8" x14ac:dyDescent="0.35">
      <c r="A74" s="2">
        <f ca="1">RANDBETWEEN(16,30)</f>
        <v>22</v>
      </c>
      <c r="B74" s="2" t="s">
        <v>3218</v>
      </c>
      <c r="E74" s="2">
        <f ca="1">RANDBETWEEN(5,25)*10</f>
        <v>240</v>
      </c>
      <c r="F74" s="155" t="s">
        <v>2548</v>
      </c>
      <c r="G74" s="2" t="str">
        <f ca="1">IF(sign5&gt;0,"increased","decreased")</f>
        <v>increased</v>
      </c>
    </row>
    <row r="75" spans="1:8" x14ac:dyDescent="0.35">
      <c r="A75" s="29">
        <f ca="1">RANDBETWEEN(45,115)/1000</f>
        <v>5.3999999999999999E-2</v>
      </c>
      <c r="B75" s="2" t="s">
        <v>3219</v>
      </c>
      <c r="E75" s="9">
        <f ca="1">A75+sign5*E74/10000</f>
        <v>7.8E-2</v>
      </c>
      <c r="F75" s="4" t="s">
        <v>3697</v>
      </c>
    </row>
    <row r="76" spans="1:8" x14ac:dyDescent="0.35">
      <c r="A76" s="24">
        <f ca="1">-PV(A75/2,A74,A73,1000)</f>
        <v>1057.4932202960324</v>
      </c>
      <c r="B76" s="2" t="s">
        <v>3220</v>
      </c>
      <c r="E76" s="24">
        <f ca="1">-PV(E75/2,A74-A77,A73,1000)</f>
        <v>895.78520263782718</v>
      </c>
      <c r="F76" s="4" t="s">
        <v>3698</v>
      </c>
    </row>
    <row r="77" spans="1:8" x14ac:dyDescent="0.35">
      <c r="A77" s="2">
        <f ca="1">RANDBETWEEN(3,7)</f>
        <v>5</v>
      </c>
      <c r="B77" s="2" t="s">
        <v>221</v>
      </c>
      <c r="E77" s="2">
        <f ca="1">A77-1</f>
        <v>4</v>
      </c>
      <c r="F77" s="2" t="s">
        <v>2943</v>
      </c>
    </row>
    <row r="78" spans="1:8" x14ac:dyDescent="0.35">
      <c r="E78" s="10">
        <f ca="1">E76+A73</f>
        <v>926.28520263782718</v>
      </c>
      <c r="F78" s="2" t="s">
        <v>1374</v>
      </c>
    </row>
    <row r="79" spans="1:8" x14ac:dyDescent="0.35">
      <c r="E79" s="29" t="str">
        <f ca="1">IF(ABS(2*[1]!irrmixed(A76,A73,E77,E78,1))&lt;0.04,"#RECALCULATE",2*[1]!irrmixed(A76,A73,E77,E78,1))</f>
        <v>#RECALCULATE</v>
      </c>
      <c r="F79" s="2" t="s">
        <v>3684</v>
      </c>
    </row>
    <row r="81" spans="1:16" ht="16" thickBot="1" x14ac:dyDescent="0.4">
      <c r="B81" s="88" t="s">
        <v>2347</v>
      </c>
      <c r="F81" s="120" t="s">
        <v>774</v>
      </c>
      <c r="J81" s="88" t="s">
        <v>2986</v>
      </c>
      <c r="N81" s="88" t="s">
        <v>3401</v>
      </c>
    </row>
    <row r="82" spans="1:16" ht="16.5" thickTop="1" thickBot="1" x14ac:dyDescent="0.4">
      <c r="B82" s="76" t="str">
        <f ca="1">[1]!std_ans($C$82)</f>
        <v>C</v>
      </c>
      <c r="C82" s="79" t="str">
        <f ca="1" xml:space="preserve"> "/\" &amp;RANDBETWEEN( 1,120) &amp; "/\" &amp;RANDBETWEEN( 1,120) &amp; "/\" &amp;0.1 &amp; "/\" &amp; A76</f>
        <v>/\80/\113/\0.1/\1057.49322029603</v>
      </c>
      <c r="D82" s="80" t="s">
        <v>3016</v>
      </c>
      <c r="F82" s="76" t="str">
        <f ca="1">[1]!std_ans($G$82)</f>
        <v>B</v>
      </c>
      <c r="G82" s="79" t="str">
        <f ca="1" xml:space="preserve"> "/\" &amp;RANDBETWEEN( 1,120) &amp; "/\" &amp;RANDBETWEEN( 1,120) &amp; "/\" &amp;0.1 &amp; "/\" &amp; E72</f>
        <v>/\28/\4/\0.1/\1047.2145392862</v>
      </c>
      <c r="H82" s="80" t="s">
        <v>2985</v>
      </c>
      <c r="J82" s="76" t="str">
        <f ca="1">[1]!std_ans($K$82)</f>
        <v>B</v>
      </c>
      <c r="K82" s="79" t="str">
        <f ca="1" xml:space="preserve"> "/\" &amp;RANDBETWEEN( 1,120) &amp; "/\" &amp;RANDBETWEEN( 1,120) &amp; "/\" &amp;0.1 &amp; "/\" &amp; E76</f>
        <v>/\49/\113/\0.1/\895.785202637827</v>
      </c>
      <c r="L82" s="80" t="s">
        <v>3400</v>
      </c>
      <c r="N82" s="76" t="str">
        <f ca="1">[1]!std_ans($O$82)</f>
        <v>#RECALCULATE</v>
      </c>
      <c r="O82" s="79" t="str">
        <f ca="1" xml:space="preserve"> "/\" &amp;RANDBETWEEN( 1,120) &amp; "/\" &amp;RANDBETWEEN( 1,120) &amp; "/\" &amp;0.1 &amp; "/\" &amp; E79</f>
        <v>/\47/\15/\0.1/\#RECALCULATE</v>
      </c>
      <c r="P82" s="80" t="s">
        <v>3402</v>
      </c>
    </row>
    <row r="83" spans="1:16" ht="16" thickTop="1" x14ac:dyDescent="0.35">
      <c r="B83" s="110">
        <f ca="1">[1]!stdnum_A($C$82)</f>
        <v>722.28209841952707</v>
      </c>
      <c r="C83" s="82"/>
      <c r="D83" s="77"/>
      <c r="F83" s="110">
        <f ca="1">[1]!stdnum_A($G$82)</f>
        <v>1151.9359932148202</v>
      </c>
      <c r="G83" s="82"/>
      <c r="H83" s="77"/>
      <c r="J83" s="110">
        <f ca="1">[1]!stdnum_A($K$82)</f>
        <v>814.35018421620634</v>
      </c>
      <c r="K83" s="82"/>
      <c r="L83" s="77"/>
      <c r="N83" s="112" t="str">
        <f ca="1">[1]!stdnum_A($O$82)</f>
        <v>#RECALCULATE</v>
      </c>
      <c r="O83" s="82"/>
      <c r="P83" s="77"/>
    </row>
    <row r="84" spans="1:16" x14ac:dyDescent="0.35">
      <c r="B84" s="110">
        <f ca="1">[1]!stdnum_B($C$82)</f>
        <v>873.96133908762795</v>
      </c>
      <c r="C84" s="82"/>
      <c r="D84" s="77"/>
      <c r="F84" s="110">
        <f ca="1">[1]!stdnum_B($G$82)</f>
        <v>1047.2145392862001</v>
      </c>
      <c r="G84" s="82"/>
      <c r="H84" s="77"/>
      <c r="J84" s="110">
        <f ca="1">[1]!stdnum_B($K$82)</f>
        <v>895.78520263782696</v>
      </c>
      <c r="K84" s="82"/>
      <c r="L84" s="77"/>
      <c r="N84" s="112" t="str">
        <f ca="1">[1]!stdnum_B($O$82)</f>
        <v>#RECALCULATE</v>
      </c>
      <c r="O84" s="82"/>
      <c r="P84" s="77"/>
    </row>
    <row r="85" spans="1:16" x14ac:dyDescent="0.35">
      <c r="B85" s="110">
        <f ca="1">[1]!stdnum_C($C$82)</f>
        <v>1057.4932202960299</v>
      </c>
      <c r="C85" s="82"/>
      <c r="D85" s="77"/>
      <c r="F85" s="110">
        <f ca="1">[1]!stdnum_C($G$82)</f>
        <v>1533.226806968926</v>
      </c>
      <c r="G85" s="82"/>
      <c r="H85" s="77"/>
      <c r="J85" s="110">
        <f ca="1">[1]!stdnum_C($K$82)</f>
        <v>740.31834928746025</v>
      </c>
      <c r="K85" s="82"/>
      <c r="L85" s="77"/>
      <c r="N85" s="112" t="str">
        <f ca="1">[1]!stdnum_C($O$82)</f>
        <v>#RECALCULATE</v>
      </c>
      <c r="O85" s="82"/>
      <c r="P85" s="77"/>
    </row>
    <row r="86" spans="1:16" x14ac:dyDescent="0.35">
      <c r="B86" s="110">
        <f ca="1">[1]!stdnum_D($C$82)</f>
        <v>794.51030826147974</v>
      </c>
      <c r="C86" s="82"/>
      <c r="D86" s="77"/>
      <c r="F86" s="110">
        <f ca="1">[1]!stdnum_D($G$82)</f>
        <v>1267.1295925363022</v>
      </c>
      <c r="G86" s="82"/>
      <c r="H86" s="77"/>
      <c r="J86" s="110">
        <f ca="1">[1]!stdnum_D($K$82)</f>
        <v>611.83334651856205</v>
      </c>
      <c r="K86" s="82"/>
      <c r="L86" s="77"/>
      <c r="N86" s="112" t="str">
        <f ca="1">[1]!stdnum_D($O$82)</f>
        <v>#RECALCULATE</v>
      </c>
      <c r="O86" s="82"/>
      <c r="P86" s="77"/>
    </row>
    <row r="87" spans="1:16" ht="16" thickBot="1" x14ac:dyDescent="0.4">
      <c r="B87" s="111">
        <f ca="1">[1]!stdnum_E($C$82)</f>
        <v>961.35747299639081</v>
      </c>
      <c r="C87" s="84"/>
      <c r="D87" s="78"/>
      <c r="F87" s="111">
        <f ca="1">[1]!stdnum_E($G$82)</f>
        <v>1393.8425517899327</v>
      </c>
      <c r="G87" s="84"/>
      <c r="H87" s="78"/>
      <c r="J87" s="111">
        <f ca="1">[1]!stdnum_E($K$82)</f>
        <v>673.01668117041822</v>
      </c>
      <c r="K87" s="84"/>
      <c r="L87" s="78"/>
      <c r="N87" s="113" t="str">
        <f ca="1">[1]!stdnum_E($O$82)</f>
        <v>#RECALCULATE</v>
      </c>
      <c r="O87" s="84"/>
      <c r="P87" s="78"/>
    </row>
    <row r="88" spans="1:16" ht="16" thickTop="1" x14ac:dyDescent="0.35"/>
    <row r="90" spans="1:16" x14ac:dyDescent="0.35">
      <c r="A90" s="88" t="s">
        <v>3403</v>
      </c>
    </row>
    <row r="91" spans="1:16" x14ac:dyDescent="0.35">
      <c r="A91" s="151">
        <f ca="1">RANDBETWEEN(30,60)/1000</f>
        <v>5.8999999999999997E-2</v>
      </c>
      <c r="B91" s="2" t="s">
        <v>2293</v>
      </c>
    </row>
    <row r="92" spans="1:16" x14ac:dyDescent="0.35">
      <c r="A92" s="153">
        <f ca="1">RANDBETWEEN(8,15)</f>
        <v>12</v>
      </c>
      <c r="B92" s="2" t="s">
        <v>3302</v>
      </c>
    </row>
    <row r="93" spans="1:16" x14ac:dyDescent="0.35">
      <c r="A93" s="154">
        <f ca="1">-PV(A94/2,A92*2,A91*1000/2,1000)</f>
        <v>889.34177056934527</v>
      </c>
      <c r="B93" s="2" t="s">
        <v>2292</v>
      </c>
    </row>
    <row r="94" spans="1:16" x14ac:dyDescent="0.35">
      <c r="A94" s="151">
        <f ca="1">RANDBETWEEN(65,120)/1000</f>
        <v>7.2999999999999995E-2</v>
      </c>
      <c r="B94" s="2" t="s">
        <v>2294</v>
      </c>
    </row>
    <row r="95" spans="1:16" x14ac:dyDescent="0.35">
      <c r="A95" s="156">
        <f ca="1">A94-(A91*1000/A93)</f>
        <v>6.6588003032524157E-3</v>
      </c>
      <c r="B95" s="2" t="s">
        <v>2295</v>
      </c>
    </row>
    <row r="96" spans="1:16" ht="16" thickBot="1" x14ac:dyDescent="0.4"/>
    <row r="97" spans="1:6" ht="16.5" thickTop="1" thickBot="1" x14ac:dyDescent="0.4">
      <c r="B97" s="76" t="str">
        <f ca="1">[1]!std_ans($C$97)</f>
        <v>C</v>
      </c>
      <c r="C97" s="79" t="str">
        <f ca="1" xml:space="preserve"> "/\" &amp;RANDBETWEEN( 1,120) &amp; "/\" &amp;RANDBETWEEN( 1,120) &amp; "/\" &amp;0.1 &amp; "/\" &amp; A95</f>
        <v>/\43/\45/\0.1/\0.00665880030325242</v>
      </c>
      <c r="D97" s="80" t="s">
        <v>3404</v>
      </c>
    </row>
    <row r="98" spans="1:6" ht="16" thickTop="1" x14ac:dyDescent="0.35">
      <c r="B98" s="134">
        <f ca="1">[1]!stdnum_A($C$97)</f>
        <v>8.8628632036289734E-3</v>
      </c>
      <c r="C98" s="82"/>
      <c r="D98" s="77"/>
    </row>
    <row r="99" spans="1:6" x14ac:dyDescent="0.35">
      <c r="B99" s="134">
        <f ca="1">[1]!stdnum_B($C$97)</f>
        <v>8.05714836693543E-3</v>
      </c>
      <c r="C99" s="82"/>
      <c r="D99" s="77"/>
    </row>
    <row r="100" spans="1:6" x14ac:dyDescent="0.35">
      <c r="B100" s="134">
        <f ca="1">[1]!stdnum_C($C$97)</f>
        <v>6.65880030325242E-3</v>
      </c>
      <c r="C100" s="82"/>
      <c r="D100" s="77"/>
    </row>
    <row r="101" spans="1:6" x14ac:dyDescent="0.35">
      <c r="B101" s="134">
        <f ca="1">[1]!stdnum_D($C$97)</f>
        <v>7.324680333577663E-3</v>
      </c>
      <c r="C101" s="82"/>
      <c r="D101" s="77"/>
    </row>
    <row r="102" spans="1:6" ht="16" thickBot="1" x14ac:dyDescent="0.4">
      <c r="B102" s="135">
        <f ca="1">[1]!stdnum_E($C$97)</f>
        <v>6.0534548211385632E-3</v>
      </c>
      <c r="C102" s="84"/>
      <c r="D102" s="78"/>
    </row>
    <row r="103" spans="1:6" ht="16" thickTop="1" x14ac:dyDescent="0.35"/>
    <row r="105" spans="1:6" x14ac:dyDescent="0.35">
      <c r="A105" s="121" t="s">
        <v>2549</v>
      </c>
    </row>
    <row r="106" spans="1:6" x14ac:dyDescent="0.35">
      <c r="A106" s="19">
        <f ca="1">RANDBETWEEN(60,120)/1000</f>
        <v>8.6999999999999994E-2</v>
      </c>
      <c r="B106" s="2" t="s">
        <v>223</v>
      </c>
      <c r="E106" s="8">
        <f ca="1">1000/(1+A106/2)^(A107*2)</f>
        <v>880.08098916260064</v>
      </c>
      <c r="F106" s="2" t="s">
        <v>2001</v>
      </c>
    </row>
    <row r="107" spans="1:6" x14ac:dyDescent="0.35">
      <c r="A107" s="18">
        <f ca="1">RANDBETWEEN(3,6)/2</f>
        <v>1.5</v>
      </c>
      <c r="B107" s="2" t="s">
        <v>499</v>
      </c>
      <c r="E107" s="8">
        <f ca="1">1000/(1+(A106+A110*IF(A109="rise",1,-1)/10000)/2)^(A107*2)</f>
        <v>871.78392777960119</v>
      </c>
      <c r="F107" s="2" t="s">
        <v>3227</v>
      </c>
    </row>
    <row r="108" spans="1:6" x14ac:dyDescent="0.35">
      <c r="A108" s="18">
        <f ca="1">RANDBETWEEN(12,30)/2</f>
        <v>14.5</v>
      </c>
      <c r="B108" s="2" t="s">
        <v>3228</v>
      </c>
      <c r="E108" s="150">
        <f ca="1">E107/E106-1</f>
        <v>-9.4276111916633543E-3</v>
      </c>
      <c r="F108" s="2" t="s">
        <v>1287</v>
      </c>
    </row>
    <row r="109" spans="1:6" x14ac:dyDescent="0.35">
      <c r="A109" s="4" t="str">
        <f ca="1">IF((RANDBETWEEN(0,1))=0,"rise","fall")</f>
        <v>rise</v>
      </c>
      <c r="B109" s="2" t="s">
        <v>2155</v>
      </c>
      <c r="E109" s="8">
        <f ca="1">1000/(1+A106/2)^(A108*2)</f>
        <v>290.88334207756708</v>
      </c>
      <c r="F109" s="2" t="s">
        <v>2156</v>
      </c>
    </row>
    <row r="110" spans="1:6" x14ac:dyDescent="0.35">
      <c r="A110" s="4">
        <f ca="1">RANDBETWEEN(60,200)</f>
        <v>66</v>
      </c>
      <c r="B110" s="2" t="s">
        <v>2157</v>
      </c>
      <c r="E110" s="8">
        <f ca="1">1000/(1+(A106+A110*IF(A109="rise",1,-1)/10000)/2)^(A108*2)</f>
        <v>265.43139829026842</v>
      </c>
      <c r="F110" s="2" t="s">
        <v>2158</v>
      </c>
    </row>
    <row r="111" spans="1:6" x14ac:dyDescent="0.35">
      <c r="E111" s="150">
        <f ca="1">E110/E109-1</f>
        <v>-8.749880142848343E-2</v>
      </c>
      <c r="F111" s="2" t="s">
        <v>2547</v>
      </c>
    </row>
    <row r="113" spans="1:10" ht="16" thickBot="1" x14ac:dyDescent="0.4">
      <c r="B113" s="120" t="s">
        <v>2550</v>
      </c>
      <c r="F113" s="88" t="s">
        <v>1064</v>
      </c>
    </row>
    <row r="114" spans="1:10" ht="16.5" thickTop="1" thickBot="1" x14ac:dyDescent="0.4">
      <c r="B114" s="76" t="str">
        <f ca="1">[1]!alpha_ans($C$114)</f>
        <v>B</v>
      </c>
      <c r="C114" s="79" t="str">
        <f ca="1" xml:space="preserve"> "/\" &amp;RANDBETWEEN( 1,5) &amp; "/\" &amp;RANDBETWEEN( 1,120) &amp; "/\" &amp;RANDBETWEEN( 1,6) &amp; "/\" &amp;RANDBETWEEN( 1,2) &amp; "/\" &amp; E106 &amp; "/\" &amp; "Mask" &amp; "/\" &amp; "Mask" &amp; "/\" &amp; E109 &amp; "/\" &amp; "Mask"</f>
        <v>/\2/\118/\6/\1/\880.080989162601/\Mask/\Mask/\290.883342077567/\Mask</v>
      </c>
      <c r="D114" s="80" t="s">
        <v>2551</v>
      </c>
      <c r="F114" s="76" t="str">
        <f ca="1">[1]!alpha_ans($G$114)</f>
        <v>D</v>
      </c>
      <c r="G114" s="79" t="str">
        <f ca="1" xml:space="preserve"> "/\" &amp;RANDBETWEEN( 1,5) &amp; "/\" &amp;RANDBETWEEN( 1,120) &amp; "/\" &amp;RANDBETWEEN( 1,6) &amp; "/\" &amp;RANDBETWEEN( 1,2) &amp; "/\" &amp; E108 &amp; "/\" &amp; "Mask" &amp; "/\" &amp; "Mask" &amp; "/\" &amp; E111 &amp; "/\" &amp; "Mask"</f>
        <v>/\4/\110/\3/\1/\-0.00942761119166335/\Mask/\Mask/\-0.0874988014284834/\Mask</v>
      </c>
      <c r="H114" s="80" t="s">
        <v>1065</v>
      </c>
    </row>
    <row r="115" spans="1:10" ht="16" thickTop="1" x14ac:dyDescent="0.35">
      <c r="B115" s="110">
        <f ca="1">[1]!onepair_A($C$114)</f>
        <v>665.46766666359304</v>
      </c>
      <c r="C115" s="136">
        <f ca="1">[1]!onepair_A2($C$114)</f>
        <v>252.942036589189</v>
      </c>
      <c r="D115" s="77"/>
      <c r="F115" s="134">
        <f ca="1">[1]!onepair_A($G$114)</f>
        <v>-1.0841752870412899E-2</v>
      </c>
      <c r="G115" s="157">
        <f ca="1">[1]!onepair_A2($G$114)</f>
        <v>-7.6085914285637796E-2</v>
      </c>
      <c r="H115" s="77"/>
    </row>
    <row r="116" spans="1:10" x14ac:dyDescent="0.35">
      <c r="B116" s="110">
        <f ca="1">[1]!onepair_B($C$114)</f>
        <v>880.08098916260099</v>
      </c>
      <c r="C116" s="136">
        <f ca="1">[1]!onepair_B2($C$114)</f>
        <v>290.88334207756702</v>
      </c>
      <c r="D116" s="77"/>
      <c r="F116" s="134">
        <f ca="1">[1]!onepair_B($G$114)</f>
        <v>-8.1979227753594397E-3</v>
      </c>
      <c r="G116" s="157">
        <f ca="1">[1]!onepair_B2($G$114)</f>
        <v>-7.6085914285637796E-2</v>
      </c>
      <c r="H116" s="77"/>
    </row>
    <row r="117" spans="1:10" x14ac:dyDescent="0.35">
      <c r="B117" s="110">
        <f ca="1">[1]!onepair_C($C$114)</f>
        <v>765.28781666313103</v>
      </c>
      <c r="C117" s="136">
        <f ca="1">[1]!onepair_C2($C$114)</f>
        <v>290.88334207756702</v>
      </c>
      <c r="D117" s="77"/>
      <c r="F117" s="134">
        <f ca="1">[1]!onepair_C($G$114)</f>
        <v>-9.4276111916633508E-3</v>
      </c>
      <c r="G117" s="157">
        <f ca="1">[1]!onepair_C2($G$114)</f>
        <v>-7.6085914285637796E-2</v>
      </c>
      <c r="H117" s="77"/>
    </row>
    <row r="118" spans="1:10" x14ac:dyDescent="0.35">
      <c r="B118" s="110">
        <f ca="1">[1]!onepair_D($C$114)</f>
        <v>765.28781666313103</v>
      </c>
      <c r="C118" s="136">
        <f ca="1">[1]!onepair_D2($C$114)</f>
        <v>252.942036589189</v>
      </c>
      <c r="D118" s="77"/>
      <c r="F118" s="134">
        <f ca="1">[1]!onepair_D($G$114)</f>
        <v>-9.4276111916633508E-3</v>
      </c>
      <c r="G118" s="157">
        <f ca="1">[1]!onepair_D2($G$114)</f>
        <v>-8.7498801428483403E-2</v>
      </c>
      <c r="H118" s="77"/>
    </row>
    <row r="119" spans="1:10" ht="16" thickBot="1" x14ac:dyDescent="0.4">
      <c r="B119" s="111">
        <f ca="1">[1]!onepair_E($C$114)</f>
        <v>880.08098916260099</v>
      </c>
      <c r="C119" s="137">
        <f ca="1">[1]!onepair_E2($C$114)</f>
        <v>252.942036589189</v>
      </c>
      <c r="D119" s="78"/>
      <c r="F119" s="135">
        <f ca="1">[1]!onepair_E($G$114)</f>
        <v>-8.1979227753594397E-3</v>
      </c>
      <c r="G119" s="158">
        <f ca="1">[1]!onepair_E2($G$114)</f>
        <v>-8.7498801428483403E-2</v>
      </c>
      <c r="H119" s="78"/>
    </row>
    <row r="120" spans="1:10" ht="16" thickTop="1" x14ac:dyDescent="0.35"/>
    <row r="122" spans="1:10" x14ac:dyDescent="0.35">
      <c r="A122" s="88" t="s">
        <v>2829</v>
      </c>
    </row>
    <row r="123" spans="1:10" x14ac:dyDescent="0.35">
      <c r="A123" s="19">
        <f ca="1">RANDBETWEEN(60,120)/1000</f>
        <v>0.11799999999999999</v>
      </c>
      <c r="B123" s="2" t="s">
        <v>599</v>
      </c>
      <c r="E123" s="24">
        <f ca="1">1000/(1+A123/2)^2</f>
        <v>891.67805785385576</v>
      </c>
      <c r="F123" s="2" t="s">
        <v>1835</v>
      </c>
    </row>
    <row r="124" spans="1:10" x14ac:dyDescent="0.35">
      <c r="A124" s="19">
        <f ca="1">A123+RANDBETWEEN(60,120)/10000</f>
        <v>0.12529999999999999</v>
      </c>
      <c r="B124" s="2" t="s">
        <v>3053</v>
      </c>
      <c r="E124" s="24">
        <f ca="1">1000/(1+A124/2)^4</f>
        <v>784.22198600894762</v>
      </c>
      <c r="F124" s="2" t="s">
        <v>1836</v>
      </c>
    </row>
    <row r="125" spans="1:10" x14ac:dyDescent="0.35">
      <c r="A125" s="19">
        <f ca="1">A124+RANDBETWEEN(30,60)/10000</f>
        <v>0.1293</v>
      </c>
      <c r="B125" s="2" t="s">
        <v>3054</v>
      </c>
      <c r="E125" s="24">
        <f ca="1">1000/(1+A125/2)^6</f>
        <v>686.68703759812445</v>
      </c>
      <c r="F125" s="2" t="s">
        <v>1837</v>
      </c>
    </row>
    <row r="126" spans="1:10" x14ac:dyDescent="0.35">
      <c r="F126" s="19"/>
    </row>
    <row r="127" spans="1:10" x14ac:dyDescent="0.35">
      <c r="C127" s="19">
        <f ca="1">((E124/E125)^(1/2)-1)*2</f>
        <v>0.13732259921582601</v>
      </c>
      <c r="D127" s="2" t="s">
        <v>998</v>
      </c>
      <c r="I127" s="36" t="s">
        <v>2320</v>
      </c>
    </row>
    <row r="128" spans="1:10" x14ac:dyDescent="0.35">
      <c r="C128" s="19">
        <f ca="1">((E123/E125)^(1/4)-1)*2</f>
        <v>0.1349725879398278</v>
      </c>
      <c r="D128" s="2" t="s">
        <v>2515</v>
      </c>
      <c r="I128" s="2">
        <f ca="1">IF(I130=0,2,3)</f>
        <v>2</v>
      </c>
      <c r="J128" s="2">
        <f ca="1">I128-1</f>
        <v>1</v>
      </c>
    </row>
    <row r="129" spans="1:12" x14ac:dyDescent="0.35">
      <c r="C129" s="19">
        <f ca="1">((E123/E124)^(1/2)-1)*2</f>
        <v>0.13262516052880136</v>
      </c>
      <c r="D129" s="2" t="s">
        <v>1897</v>
      </c>
      <c r="I129" s="2" t="s">
        <v>2830</v>
      </c>
      <c r="J129" s="3">
        <f ca="1">IF(I130=0,C132,C133)</f>
        <v>146.25160528801362</v>
      </c>
    </row>
    <row r="130" spans="1:12" x14ac:dyDescent="0.35">
      <c r="C130" s="3">
        <f ca="1">(C128-A124)*10000</f>
        <v>96.725879398278096</v>
      </c>
      <c r="D130" s="2" t="s">
        <v>2082</v>
      </c>
      <c r="I130" s="2">
        <f ca="1">(RANDBETWEEN(0,1))</f>
        <v>0</v>
      </c>
    </row>
    <row r="131" spans="1:12" x14ac:dyDescent="0.35">
      <c r="C131" s="3">
        <f ca="1">(C127-C129)*10000</f>
        <v>46.974386870246576</v>
      </c>
      <c r="D131" s="2" t="s">
        <v>2083</v>
      </c>
    </row>
    <row r="132" spans="1:12" x14ac:dyDescent="0.35">
      <c r="C132" s="3">
        <f ca="1">(C129-A123)*10000</f>
        <v>146.25160528801362</v>
      </c>
      <c r="D132" s="2" t="s">
        <v>1052</v>
      </c>
    </row>
    <row r="133" spans="1:12" x14ac:dyDescent="0.35">
      <c r="C133" s="3">
        <f ca="1">(C127-A123)*10000</f>
        <v>193.2259921582602</v>
      </c>
      <c r="D133" s="2" t="s">
        <v>1053</v>
      </c>
    </row>
    <row r="135" spans="1:12" ht="16" thickBot="1" x14ac:dyDescent="0.4">
      <c r="B135" s="88" t="s">
        <v>2831</v>
      </c>
      <c r="F135" s="88" t="s">
        <v>2833</v>
      </c>
      <c r="J135" s="88" t="s">
        <v>901</v>
      </c>
    </row>
    <row r="136" spans="1:12" ht="16.5" thickTop="1" thickBot="1" x14ac:dyDescent="0.4">
      <c r="B136" s="76" t="str">
        <f ca="1">[1]!std_ans($C$136)</f>
        <v>D</v>
      </c>
      <c r="C136" s="79" t="str">
        <f ca="1" xml:space="preserve"> "/\" &amp;RANDBETWEEN( 1,120) &amp; "/\" &amp;RANDBETWEEN( 1,120) &amp; "/\" &amp;0.1 &amp; "/\" &amp; C130</f>
        <v>/\105/\74/\0.1/\96.7258793982781</v>
      </c>
      <c r="D136" s="80" t="s">
        <v>2832</v>
      </c>
      <c r="F136" s="76" t="str">
        <f ca="1">[1]!std_ans($G$136)</f>
        <v>E</v>
      </c>
      <c r="G136" s="79" t="str">
        <f ca="1" xml:space="preserve"> "/\" &amp;RANDBETWEEN( 1,120) &amp; "/\" &amp;RANDBETWEEN( 1,120) &amp; "/\" &amp;0.1 &amp; "/\" &amp; J129</f>
        <v>/\84/\23/\0.1/\146.251605288014</v>
      </c>
      <c r="H136" s="80" t="s">
        <v>2834</v>
      </c>
      <c r="J136" s="76" t="str">
        <f ca="1">[1]!alpha_ans($K$136)</f>
        <v>C</v>
      </c>
      <c r="K136" s="79" t="str">
        <f ca="1" xml:space="preserve"> "/\" &amp;RANDBETWEEN( 1,5) &amp; "/\" &amp;RANDBETWEEN( 1,120) &amp; "/\" &amp;RANDBETWEEN( 1,6) &amp; "/\" &amp;RANDBETWEEN( 1,2) &amp; "/\" &amp; C129 &amp; "/\" &amp; "Mask" &amp; "/\" &amp; "Mask" &amp; "/\" &amp; C127 &amp; "/\" &amp; "Mask"</f>
        <v>/\3/\44/\5/\1/\0.132625160528801/\Mask/\Mask/\0.137322599215826/\Mask</v>
      </c>
      <c r="L136" s="80" t="s">
        <v>3540</v>
      </c>
    </row>
    <row r="137" spans="1:12" ht="16" thickTop="1" x14ac:dyDescent="0.35">
      <c r="B137" s="81">
        <f ca="1">[1]!stdnum_A($C$136)</f>
        <v>87.932617634798262</v>
      </c>
      <c r="C137" s="82"/>
      <c r="D137" s="77"/>
      <c r="F137" s="81">
        <f ca="1">[1]!stdnum_A($G$136)</f>
        <v>160.87676581681541</v>
      </c>
      <c r="G137" s="82"/>
      <c r="H137" s="77"/>
      <c r="J137" s="134">
        <f ca="1">[1]!onepair_A($K$136)</f>
        <v>0.100283675258073</v>
      </c>
      <c r="K137" s="157">
        <f ca="1">[1]!onepair_A2($K$136)</f>
        <v>0.13732259921582601</v>
      </c>
      <c r="L137" s="77"/>
    </row>
    <row r="138" spans="1:12" x14ac:dyDescent="0.35">
      <c r="B138" s="81">
        <f ca="1">[1]!stdnum_B($C$136)</f>
        <v>72.67158482214731</v>
      </c>
      <c r="C138" s="82"/>
      <c r="D138" s="77"/>
      <c r="F138" s="81">
        <f ca="1">[1]!stdnum_B($G$136)</f>
        <v>214.12697530218134</v>
      </c>
      <c r="G138" s="82"/>
      <c r="H138" s="77"/>
      <c r="J138" s="134">
        <f ca="1">[1]!onepair_B($K$136)</f>
        <v>0.115326226546783</v>
      </c>
      <c r="K138" s="157">
        <f ca="1">[1]!onepair_B2($K$136)</f>
        <v>0.119410955839849</v>
      </c>
      <c r="L138" s="77"/>
    </row>
    <row r="139" spans="1:12" x14ac:dyDescent="0.35">
      <c r="B139" s="81">
        <f ca="1">[1]!stdnum_C($C$136)</f>
        <v>79.938743304362049</v>
      </c>
      <c r="C139" s="82"/>
      <c r="D139" s="77"/>
      <c r="F139" s="81">
        <f ca="1">[1]!stdnum_C($G$136)</f>
        <v>176.96444239849694</v>
      </c>
      <c r="G139" s="82"/>
      <c r="H139" s="77"/>
      <c r="J139" s="134">
        <f ca="1">[1]!onepair_C($K$136)</f>
        <v>0.13262516052880099</v>
      </c>
      <c r="K139" s="157">
        <f ca="1">[1]!onepair_C2($K$136)</f>
        <v>0.13732259921582601</v>
      </c>
      <c r="L139" s="77"/>
    </row>
    <row r="140" spans="1:12" x14ac:dyDescent="0.35">
      <c r="B140" s="81">
        <f ca="1">[1]!stdnum_D($C$136)</f>
        <v>96.725879398278096</v>
      </c>
      <c r="C140" s="82"/>
      <c r="D140" s="77"/>
      <c r="F140" s="81">
        <f ca="1">[1]!stdnum_D($G$136)</f>
        <v>194.66088663834668</v>
      </c>
      <c r="G140" s="82"/>
      <c r="H140" s="77"/>
      <c r="J140" s="134">
        <f ca="1">[1]!onepair_D($K$136)</f>
        <v>0.115326226546783</v>
      </c>
      <c r="K140" s="157">
        <f ca="1">[1]!onepair_D2($K$136)</f>
        <v>0.13732259921582601</v>
      </c>
      <c r="L140" s="77"/>
    </row>
    <row r="141" spans="1:12" ht="16" thickBot="1" x14ac:dyDescent="0.4">
      <c r="B141" s="83">
        <f ca="1">[1]!stdnum_E($C$136)</f>
        <v>106.39846733810592</v>
      </c>
      <c r="C141" s="84"/>
      <c r="D141" s="78"/>
      <c r="F141" s="83">
        <f ca="1">[1]!stdnum_E($G$136)</f>
        <v>146.25160528801399</v>
      </c>
      <c r="G141" s="84"/>
      <c r="H141" s="78"/>
      <c r="J141" s="135">
        <f ca="1">[1]!onepair_E($K$136)</f>
        <v>0.100283675258073</v>
      </c>
      <c r="K141" s="158">
        <f ca="1">[1]!onepair_E2($K$136)</f>
        <v>0.119410955839849</v>
      </c>
      <c r="L141" s="78"/>
    </row>
    <row r="142" spans="1:12" ht="16" thickTop="1" x14ac:dyDescent="0.35"/>
    <row r="144" spans="1:12" x14ac:dyDescent="0.35">
      <c r="A144" s="88" t="s">
        <v>3432</v>
      </c>
    </row>
    <row r="145" spans="1:9" x14ac:dyDescent="0.35">
      <c r="A145" s="29">
        <f ca="1">RANDBETWEEN(40,75)/1000</f>
        <v>4.7E-2</v>
      </c>
      <c r="B145" s="2" t="s">
        <v>3180</v>
      </c>
      <c r="E145" s="8">
        <f ca="1">1000*A145*A146</f>
        <v>705</v>
      </c>
      <c r="F145" s="2" t="s">
        <v>1305</v>
      </c>
    </row>
    <row r="146" spans="1:9" x14ac:dyDescent="0.35">
      <c r="A146" s="3">
        <f ca="1">5*RANDBETWEEN(2,6)</f>
        <v>15</v>
      </c>
      <c r="B146" s="2" t="s">
        <v>3430</v>
      </c>
    </row>
    <row r="147" spans="1:9" ht="16" thickBot="1" x14ac:dyDescent="0.4"/>
    <row r="148" spans="1:9" ht="16.5" thickTop="1" thickBot="1" x14ac:dyDescent="0.4">
      <c r="B148" s="76" t="str">
        <f ca="1">[1]!std_ans($C$148)</f>
        <v>A</v>
      </c>
      <c r="C148" s="79" t="str">
        <f ca="1" xml:space="preserve"> "/\" &amp;RANDBETWEEN( 1,120) &amp; "/\" &amp;RANDBETWEEN( 1,120) &amp; "/\" &amp;0.1 &amp; "/\" &amp; E145</f>
        <v>/\23/\58/\0.1/\705</v>
      </c>
      <c r="D148" s="80" t="s">
        <v>3431</v>
      </c>
    </row>
    <row r="149" spans="1:9" ht="16" thickTop="1" x14ac:dyDescent="0.35">
      <c r="B149" s="101">
        <f ca="1">[1]!stdnum_A($C$148)</f>
        <v>705</v>
      </c>
      <c r="C149" s="82"/>
      <c r="D149" s="77"/>
    </row>
    <row r="150" spans="1:9" x14ac:dyDescent="0.35">
      <c r="B150" s="101">
        <f ca="1">[1]!stdnum_B($C$148)</f>
        <v>582.64462809917347</v>
      </c>
      <c r="C150" s="82"/>
      <c r="D150" s="77"/>
    </row>
    <row r="151" spans="1:9" x14ac:dyDescent="0.35">
      <c r="B151" s="101">
        <f ca="1">[1]!stdnum_C($C$148)</f>
        <v>853.05000000000018</v>
      </c>
      <c r="C151" s="82"/>
      <c r="D151" s="77"/>
    </row>
    <row r="152" spans="1:9" x14ac:dyDescent="0.35">
      <c r="B152" s="101">
        <f ca="1">[1]!stdnum_D($C$148)</f>
        <v>640.90909090909088</v>
      </c>
      <c r="C152" s="82"/>
      <c r="D152" s="77"/>
    </row>
    <row r="153" spans="1:9" ht="16" thickBot="1" x14ac:dyDescent="0.4">
      <c r="B153" s="102">
        <f ca="1">[1]!stdnum_E($C$148)</f>
        <v>775.50000000000011</v>
      </c>
      <c r="C153" s="84"/>
      <c r="D153" s="78"/>
    </row>
    <row r="154" spans="1:9" ht="16" thickTop="1" x14ac:dyDescent="0.35"/>
    <row r="156" spans="1:9" x14ac:dyDescent="0.35">
      <c r="A156" s="88" t="s">
        <v>2042</v>
      </c>
    </row>
    <row r="157" spans="1:9" x14ac:dyDescent="0.35">
      <c r="A157" s="2" t="str">
        <f ca="1">INDEX($B$2:$M$2,D157)</f>
        <v>September</v>
      </c>
      <c r="B157" s="2" t="s">
        <v>2639</v>
      </c>
      <c r="D157" s="2">
        <f ca="1">RANDBETWEEN(1,12)</f>
        <v>9</v>
      </c>
      <c r="G157" s="29">
        <f ca="1">ROUND(2*RATE(A160,0,-A161*10,1000),4)</f>
        <v>4.7E-2</v>
      </c>
      <c r="H157" s="2" t="s">
        <v>1846</v>
      </c>
      <c r="I157" s="29">
        <f ca="1">RANDBETWEEN(35,95)/1000</f>
        <v>4.7E-2</v>
      </c>
    </row>
    <row r="158" spans="1:9" x14ac:dyDescent="0.35">
      <c r="A158" s="2" t="str">
        <f ca="1">INDEX($B$2:$M$2,D158)</f>
        <v>September</v>
      </c>
      <c r="B158" s="2" t="s">
        <v>2640</v>
      </c>
      <c r="D158" s="2">
        <f ca="1">D157+E160*IF(D157&lt;7,6,-6)</f>
        <v>9</v>
      </c>
    </row>
    <row r="159" spans="1:9" x14ac:dyDescent="0.35">
      <c r="A159" s="2">
        <f ca="1">2525+D159</f>
        <v>2545</v>
      </c>
      <c r="B159" s="2" t="s">
        <v>2641</v>
      </c>
      <c r="D159" s="2">
        <f ca="1">RANDBETWEEN(5,20)</f>
        <v>20</v>
      </c>
    </row>
    <row r="160" spans="1:9" x14ac:dyDescent="0.35">
      <c r="A160" s="2">
        <f ca="1">2*(D159-1)+IF(D157&lt;7,1,0)+IF(D158&lt;7,1,2)</f>
        <v>40</v>
      </c>
      <c r="B160" s="2" t="s">
        <v>1845</v>
      </c>
      <c r="E160" s="2">
        <f ca="1">(RANDBETWEEN(0,1))</f>
        <v>0</v>
      </c>
    </row>
    <row r="161" spans="1:12" x14ac:dyDescent="0.35">
      <c r="A161" s="114">
        <f ca="1">ROUND(100/(1+I157/2)^A160,1)</f>
        <v>39.5</v>
      </c>
      <c r="B161" s="2" t="s">
        <v>3728</v>
      </c>
      <c r="C161" s="8">
        <f ca="1">1000/(1+G157/2)^A160</f>
        <v>394.89907827337498</v>
      </c>
    </row>
    <row r="162" spans="1:12" ht="16" thickBot="1" x14ac:dyDescent="0.4">
      <c r="B162" s="88" t="s">
        <v>2048</v>
      </c>
      <c r="C162" s="8"/>
      <c r="F162" s="88" t="s">
        <v>2047</v>
      </c>
      <c r="J162" s="88"/>
    </row>
    <row r="163" spans="1:12" ht="16.5" thickTop="1" thickBot="1" x14ac:dyDescent="0.4">
      <c r="B163" s="76" t="str">
        <f ca="1">[1]!std_ans($C$163)</f>
        <v>B</v>
      </c>
      <c r="C163" s="79" t="str">
        <f ca="1" xml:space="preserve"> "/\" &amp;RANDBETWEEN( 1,120) &amp; "/\" &amp;RANDBETWEEN( 1,120) &amp; "/\" &amp;0.1 &amp; "/\" &amp; G157</f>
        <v>/\78/\100/\0.1/\0.047</v>
      </c>
      <c r="D163" s="80" t="s">
        <v>2642</v>
      </c>
      <c r="F163" s="76" t="str">
        <f ca="1">[1]!std_ans($G$163)</f>
        <v>E</v>
      </c>
      <c r="G163" s="79" t="str">
        <f ca="1" xml:space="preserve"> "/\" &amp;RANDBETWEEN( 1,120) &amp; "/\" &amp;RANDBETWEEN( 1,120) &amp; "/\" &amp;0.1 &amp; "/\" &amp; C161</f>
        <v>/\48/\77/\0.1/\394.899078273375</v>
      </c>
      <c r="H163" s="80" t="s">
        <v>2043</v>
      </c>
      <c r="L163" s="2" t="s">
        <v>2044</v>
      </c>
    </row>
    <row r="164" spans="1:12" ht="16" thickTop="1" x14ac:dyDescent="0.35">
      <c r="B164" s="92">
        <f ca="1">[1]!stdnum_A($C$163)</f>
        <v>4.2727272727272725E-2</v>
      </c>
      <c r="C164" s="82"/>
      <c r="D164" s="77"/>
      <c r="F164" s="101">
        <f ca="1">[1]!stdnum_A($G$163)</f>
        <v>296.69352236917723</v>
      </c>
      <c r="G164" s="82"/>
      <c r="H164" s="77"/>
    </row>
    <row r="165" spans="1:12" x14ac:dyDescent="0.35">
      <c r="B165" s="92">
        <f ca="1">[1]!stdnum_B($C$163)</f>
        <v>4.7E-2</v>
      </c>
      <c r="C165" s="82"/>
      <c r="D165" s="77"/>
      <c r="F165" s="101">
        <f ca="1">[1]!stdnum_B($G$163)</f>
        <v>358.99916206670451</v>
      </c>
      <c r="G165" s="82"/>
      <c r="H165" s="77"/>
    </row>
    <row r="166" spans="1:12" x14ac:dyDescent="0.35">
      <c r="B166" s="92">
        <f ca="1">[1]!stdnum_C($C$163)</f>
        <v>3.5311795642374147E-2</v>
      </c>
      <c r="C166" s="82"/>
      <c r="D166" s="77"/>
      <c r="F166" s="101">
        <f ca="1">[1]!stdnum_C($G$163)</f>
        <v>326.36287460609498</v>
      </c>
      <c r="G166" s="82"/>
      <c r="H166" s="77"/>
    </row>
    <row r="167" spans="1:12" x14ac:dyDescent="0.35">
      <c r="B167" s="92">
        <f ca="1">[1]!stdnum_D($C$163)</f>
        <v>3.8842975206611563E-2</v>
      </c>
      <c r="C167" s="82"/>
      <c r="D167" s="77"/>
      <c r="F167" s="101">
        <f ca="1">[1]!stdnum_D($G$163)</f>
        <v>434.38898610071254</v>
      </c>
      <c r="G167" s="82"/>
      <c r="H167" s="77"/>
    </row>
    <row r="168" spans="1:12" ht="16" thickBot="1" x14ac:dyDescent="0.4">
      <c r="B168" s="93">
        <f ca="1">[1]!stdnum_E($C$163)</f>
        <v>3.2101632402158312E-2</v>
      </c>
      <c r="C168" s="84"/>
      <c r="D168" s="78"/>
      <c r="F168" s="102">
        <f ca="1">[1]!stdnum_E($G$163)</f>
        <v>394.89907827337498</v>
      </c>
      <c r="G168" s="84"/>
      <c r="H168" s="78"/>
    </row>
    <row r="169" spans="1:12" ht="16" thickTop="1" x14ac:dyDescent="0.35"/>
    <row r="171" spans="1:12" x14ac:dyDescent="0.35">
      <c r="A171" s="88" t="s">
        <v>2045</v>
      </c>
    </row>
    <row r="172" spans="1:12" x14ac:dyDescent="0.35">
      <c r="A172" s="2" t="str">
        <f ca="1">INDEX($B$2:$M$2,D172)</f>
        <v>September</v>
      </c>
      <c r="B172" s="2" t="s">
        <v>2639</v>
      </c>
      <c r="D172" s="2">
        <f ca="1">RANDBETWEEN(1,12)</f>
        <v>9</v>
      </c>
      <c r="I172" s="29"/>
    </row>
    <row r="173" spans="1:12" x14ac:dyDescent="0.35">
      <c r="A173" s="2" t="str">
        <f ca="1">INDEX($B$2:$M$2,D173)</f>
        <v>September</v>
      </c>
      <c r="B173" s="2" t="s">
        <v>2640</v>
      </c>
      <c r="D173" s="2">
        <f ca="1">D172+(RANDBETWEEN(0,1))*IF(D172&lt;7,6,-6)</f>
        <v>9</v>
      </c>
    </row>
    <row r="174" spans="1:12" x14ac:dyDescent="0.35">
      <c r="A174" s="2">
        <f ca="1">2525+D174</f>
        <v>2544</v>
      </c>
      <c r="B174" s="2" t="s">
        <v>2641</v>
      </c>
      <c r="D174" s="2">
        <f ca="1">RANDBETWEEN(5,20)</f>
        <v>19</v>
      </c>
    </row>
    <row r="175" spans="1:12" x14ac:dyDescent="0.35">
      <c r="A175" s="2">
        <f ca="1">2*(D174-1)+IF(D172&lt;7,1,0)+IF(D173&lt;7,1,2)</f>
        <v>38</v>
      </c>
      <c r="B175" s="2" t="s">
        <v>1845</v>
      </c>
    </row>
    <row r="176" spans="1:12" x14ac:dyDescent="0.35">
      <c r="A176" s="114">
        <f ca="1">ROUND(C176/10,2)</f>
        <v>138.28</v>
      </c>
      <c r="B176" s="2" t="s">
        <v>3728</v>
      </c>
      <c r="C176" s="8">
        <f ca="1">-PV(A178/2,A175,C177,1000)</f>
        <v>1382.7706038681022</v>
      </c>
    </row>
    <row r="177" spans="1:10" x14ac:dyDescent="0.35">
      <c r="A177" s="29">
        <f ca="1">A178+(IF(RANDBETWEEN(0,1)=0,1,-1))*RANDBETWEEN(20,45)/1000</f>
        <v>0.13500000000000001</v>
      </c>
      <c r="B177" s="2" t="s">
        <v>3180</v>
      </c>
      <c r="C177" s="13">
        <f ca="1">A177*1000/2</f>
        <v>67.5</v>
      </c>
    </row>
    <row r="178" spans="1:10" x14ac:dyDescent="0.35">
      <c r="A178" s="29">
        <f ca="1">RANDBETWEEN(65,105)/1000</f>
        <v>9.1999999999999998E-2</v>
      </c>
      <c r="B178" s="2" t="s">
        <v>1846</v>
      </c>
    </row>
    <row r="180" spans="1:10" ht="16" thickBot="1" x14ac:dyDescent="0.4">
      <c r="B180" s="88" t="s">
        <v>2050</v>
      </c>
      <c r="F180" s="88" t="s">
        <v>2051</v>
      </c>
    </row>
    <row r="181" spans="1:10" ht="16.5" thickTop="1" thickBot="1" x14ac:dyDescent="0.4">
      <c r="B181" s="76" t="str">
        <f ca="1">[1]!std_ans($C$181)</f>
        <v>B</v>
      </c>
      <c r="C181" s="79" t="str">
        <f ca="1" xml:space="preserve"> "/\" &amp;RANDBETWEEN( 1,120) &amp; "/\" &amp;RANDBETWEEN( 1,120) &amp; "/\" &amp;0.1 &amp; "/\" &amp; C176</f>
        <v>/\102/\3/\0.1/\1382.7706038681</v>
      </c>
      <c r="D181" s="80" t="s">
        <v>2046</v>
      </c>
      <c r="F181" s="76" t="str">
        <f ca="1">[1]!std_ans($G$181)</f>
        <v>B</v>
      </c>
      <c r="G181" s="79" t="str">
        <f ca="1" xml:space="preserve"> "/\" &amp;RANDBETWEEN( 1,120) &amp; "/\" &amp;RANDBETWEEN( 1,120) &amp; "/\" &amp;0.1 &amp; "/\" &amp; A178</f>
        <v>/\52/\87/\0.1/\0.092</v>
      </c>
      <c r="H181" s="80" t="s">
        <v>2049</v>
      </c>
    </row>
    <row r="182" spans="1:10" ht="16" thickTop="1" x14ac:dyDescent="0.35">
      <c r="B182" s="101">
        <f ca="1">[1]!stdnum_A($C$181)</f>
        <v>2024.5144411232857</v>
      </c>
      <c r="C182" s="82"/>
      <c r="D182" s="77"/>
      <c r="F182" s="92">
        <f ca="1">[1]!stdnum_A($G$181)</f>
        <v>7.6033057851239663E-2</v>
      </c>
      <c r="G182" s="82"/>
      <c r="H182" s="77"/>
    </row>
    <row r="183" spans="1:10" x14ac:dyDescent="0.35">
      <c r="B183" s="101">
        <f ca="1">[1]!stdnum_B($C$181)</f>
        <v>1382.7706038680999</v>
      </c>
      <c r="C183" s="82"/>
      <c r="D183" s="77"/>
      <c r="F183" s="92">
        <f ca="1">[1]!stdnum_B($G$181)</f>
        <v>9.1999999999999998E-2</v>
      </c>
      <c r="G183" s="82"/>
      <c r="H183" s="77"/>
    </row>
    <row r="184" spans="1:10" x14ac:dyDescent="0.35">
      <c r="B184" s="101">
        <f ca="1">[1]!stdnum_C($C$181)</f>
        <v>1673.152430680401</v>
      </c>
      <c r="C184" s="82"/>
      <c r="D184" s="77"/>
      <c r="F184" s="92">
        <f ca="1">[1]!stdnum_C($G$181)</f>
        <v>6.9120961682945126E-2</v>
      </c>
      <c r="G184" s="82"/>
      <c r="H184" s="77"/>
    </row>
    <row r="185" spans="1:10" x14ac:dyDescent="0.35">
      <c r="B185" s="101">
        <f ca="1">[1]!stdnum_D($C$181)</f>
        <v>1840.4676737484415</v>
      </c>
      <c r="C185" s="82"/>
      <c r="D185" s="77"/>
      <c r="F185" s="92">
        <f ca="1">[1]!stdnum_D($G$181)</f>
        <v>0.10120000000000001</v>
      </c>
      <c r="G185" s="82"/>
      <c r="H185" s="77"/>
    </row>
    <row r="186" spans="1:10" ht="16" thickBot="1" x14ac:dyDescent="0.4">
      <c r="B186" s="102">
        <f ca="1">[1]!stdnum_E($C$181)</f>
        <v>1521.0476642549099</v>
      </c>
      <c r="C186" s="84"/>
      <c r="D186" s="78"/>
      <c r="F186" s="93">
        <f ca="1">[1]!stdnum_E($G$181)</f>
        <v>8.3636363636363634E-2</v>
      </c>
      <c r="G186" s="84"/>
      <c r="H186" s="78"/>
    </row>
    <row r="187" spans="1:10" ht="16" thickTop="1" x14ac:dyDescent="0.35"/>
    <row r="189" spans="1:10" x14ac:dyDescent="0.35">
      <c r="A189" s="88" t="s">
        <v>2277</v>
      </c>
    </row>
    <row r="190" spans="1:10" x14ac:dyDescent="0.35">
      <c r="A190" s="2" t="str">
        <f ca="1">INDEX($B$2:$M$2,D190)</f>
        <v>July</v>
      </c>
      <c r="B190" s="2" t="s">
        <v>2639</v>
      </c>
      <c r="D190" s="2">
        <f ca="1">RANDBETWEEN(1,12)</f>
        <v>7</v>
      </c>
      <c r="G190" s="29">
        <f ca="1">C195/C194*2</f>
        <v>7.2005752491455896E-2</v>
      </c>
      <c r="H190" s="2" t="s">
        <v>2278</v>
      </c>
    </row>
    <row r="191" spans="1:10" x14ac:dyDescent="0.35">
      <c r="A191" s="2" t="str">
        <f ca="1">INDEX($B$2:$M$2,D191)</f>
        <v>July</v>
      </c>
      <c r="B191" s="2" t="s">
        <v>2640</v>
      </c>
      <c r="D191" s="2">
        <f ca="1">D190+(RANDBETWEEN(0,1))*IF(D190&lt;7,6,-6)</f>
        <v>7</v>
      </c>
      <c r="G191" s="9">
        <f ca="1">A196-G190</f>
        <v>1.8994247508544101E-2</v>
      </c>
      <c r="H191" s="2" t="s">
        <v>2279</v>
      </c>
      <c r="J191" s="375">
        <f ca="1">(-PV(A196/2,A193-1,C195,1000)/C194-1)*2</f>
        <v>1.899424750854406E-2</v>
      </c>
    </row>
    <row r="192" spans="1:10" x14ac:dyDescent="0.35">
      <c r="A192" s="2">
        <f ca="1">2525+D192</f>
        <v>2532</v>
      </c>
      <c r="B192" s="2" t="s">
        <v>2641</v>
      </c>
      <c r="D192" s="2">
        <f ca="1">RANDBETWEEN(5,20)</f>
        <v>7</v>
      </c>
      <c r="F192" s="2">
        <f ca="1">RANDBETWEEN(1,2)</f>
        <v>2</v>
      </c>
      <c r="G192" s="29">
        <f ca="1">INDEX(G190:G191,F192)</f>
        <v>1.8994247508544101E-2</v>
      </c>
      <c r="H192" s="2" t="str">
        <f ca="1">INDEX(H190:H191,F192)</f>
        <v>capital gains yield</v>
      </c>
      <c r="I192" s="2" t="str">
        <f ca="1">IF(F192=1,H191,H190)</f>
        <v>current yield</v>
      </c>
    </row>
    <row r="193" spans="1:12" x14ac:dyDescent="0.35">
      <c r="A193" s="2">
        <f ca="1">2*(D192-1)+IF(D190&lt;7,1,0)+IF(D191&lt;7,1,2)</f>
        <v>14</v>
      </c>
      <c r="B193" s="2" t="s">
        <v>1845</v>
      </c>
    </row>
    <row r="194" spans="1:12" x14ac:dyDescent="0.35">
      <c r="A194" s="114">
        <f ca="1">ROUND(C194/10,2)</f>
        <v>84.72</v>
      </c>
      <c r="B194" s="2" t="s">
        <v>3728</v>
      </c>
      <c r="C194" s="8">
        <f ca="1">-PV(A196/2,A193,C195,1000)</f>
        <v>847.15453820496043</v>
      </c>
    </row>
    <row r="195" spans="1:12" x14ac:dyDescent="0.35">
      <c r="A195" s="29">
        <f ca="1">RANDBETWEEN(35,65)/1000</f>
        <v>6.0999999999999999E-2</v>
      </c>
      <c r="B195" s="2" t="s">
        <v>3180</v>
      </c>
      <c r="C195" s="13">
        <f ca="1">A195*1000/2</f>
        <v>30.5</v>
      </c>
    </row>
    <row r="196" spans="1:12" x14ac:dyDescent="0.35">
      <c r="A196" s="29">
        <f ca="1">A195+RANDBETWEEN(10,35)/1000</f>
        <v>9.0999999999999998E-2</v>
      </c>
      <c r="B196" s="2" t="s">
        <v>3181</v>
      </c>
    </row>
    <row r="198" spans="1:12" ht="16" thickBot="1" x14ac:dyDescent="0.4">
      <c r="B198" s="88" t="s">
        <v>1715</v>
      </c>
      <c r="F198" s="88" t="s">
        <v>1714</v>
      </c>
      <c r="J198" s="88" t="s">
        <v>1713</v>
      </c>
    </row>
    <row r="199" spans="1:12" ht="16.5" thickTop="1" thickBot="1" x14ac:dyDescent="0.4">
      <c r="B199" s="76" t="str">
        <f ca="1">[1]!std_ans($C$199)</f>
        <v>E</v>
      </c>
      <c r="C199" s="79" t="str">
        <f ca="1" xml:space="preserve"> "/\" &amp;RANDBETWEEN( 1,120) &amp; "/\" &amp;RANDBETWEEN( 1,3) &amp; "/\" &amp;RANDBETWEEN( 1,2) &amp; "/\" &amp;RANDBETWEEN( 1,2) &amp; "/\" &amp;RANDBETWEEN( 1,8)  &amp; "/\" &amp; A196 &amp; "/\" &amp; G190 &amp; "/\" &amp; G191 &amp; "/\" &amp; B196 &amp; "/\" &amp; H190 &amp; "/\" &amp; H191 &amp; "/\" &amp; "NW"</f>
        <v>/\108/\2/\1/\1/\4/\0.091/\0.0720057524914559/\0.0189942475085441/\yield-to-maturity/\current yield/\capital gains yield/\NW</v>
      </c>
      <c r="D199" s="80" t="s">
        <v>2280</v>
      </c>
      <c r="F199" s="76" t="str">
        <f ca="1">[1]!alpha_ans($G$199)</f>
        <v>B</v>
      </c>
      <c r="G199" s="79" t="str">
        <f ca="1" xml:space="preserve"> "/\" &amp;RANDBETWEEN( 1,5) &amp; "/\" &amp;RANDBETWEEN( 1,120) &amp; "/\" &amp;RANDBETWEEN( 1,6) &amp; "/\" &amp;RANDBETWEEN( 1,2) &amp; "/\" &amp; G190 &amp; "/\" &amp; "Mask" &amp; "/\" &amp; "Mask" &amp; "/\" &amp; G191 &amp; "/\" &amp; "Mask"</f>
        <v>/\2/\30/\3/\2/\0.0720057524914559/\Mask/\Mask/\0.0189942475085441/\Mask</v>
      </c>
      <c r="H199" s="80" t="s">
        <v>2281</v>
      </c>
      <c r="J199" s="76" t="str">
        <f ca="1">[1]!std_ans($K$199)</f>
        <v>D</v>
      </c>
      <c r="K199" s="79" t="str">
        <f ca="1" xml:space="preserve"> "/\" &amp;RANDBETWEEN( 1,120) &amp; "/\" &amp;RANDBETWEEN( 1,120) &amp; "/\" &amp;0.1 &amp; "/\" &amp; G192</f>
        <v>/\33/\115/\0.1/\0.0189942475085441</v>
      </c>
      <c r="L199" s="80" t="s">
        <v>1712</v>
      </c>
    </row>
    <row r="200" spans="1:12" ht="16" thickTop="1" x14ac:dyDescent="0.35">
      <c r="B200" s="108">
        <f ca="1">[1]!threepairs_A($C$199)</f>
        <v>9.0999999999999998E-2</v>
      </c>
      <c r="C200" s="82" t="str">
        <f ca="1">[1]!threepairs_A2($C$199)</f>
        <v>current yield</v>
      </c>
      <c r="D200" s="77"/>
      <c r="F200" s="108">
        <f ca="1">[1]!onepair_A($G$199)</f>
        <v>6.2613697818657305E-2</v>
      </c>
      <c r="G200" s="376">
        <f ca="1">[1]!onepair_A2($G$199)</f>
        <v>1.8994247508544101E-2</v>
      </c>
      <c r="H200" s="77"/>
      <c r="J200" s="108">
        <f ca="1">[1]!stdnum_A($K$199)</f>
        <v>1.7267497735040091E-2</v>
      </c>
      <c r="K200" s="82"/>
      <c r="L200" s="77"/>
    </row>
    <row r="201" spans="1:12" x14ac:dyDescent="0.35">
      <c r="B201" s="108">
        <f ca="1">[1]!threepairs_B($C$199)</f>
        <v>9.0999999999999998E-2</v>
      </c>
      <c r="C201" s="82" t="str">
        <f ca="1">[1]!threepairs_B2($C$199)</f>
        <v>capital gains yield</v>
      </c>
      <c r="D201" s="77"/>
      <c r="F201" s="108">
        <f ca="1">[1]!onepair_B($G$199)</f>
        <v>7.2005752491455896E-2</v>
      </c>
      <c r="G201" s="376">
        <f ca="1">[1]!onepair_B2($G$199)</f>
        <v>1.8994247508544101E-2</v>
      </c>
      <c r="H201" s="77"/>
      <c r="J201" s="108">
        <f ca="1">[1]!stdnum_B($K$199)</f>
        <v>1.2973326622870089E-2</v>
      </c>
      <c r="K201" s="82"/>
      <c r="L201" s="77"/>
    </row>
    <row r="202" spans="1:12" x14ac:dyDescent="0.35">
      <c r="B202" s="108">
        <f ca="1">[1]!threepairs_C($C$199)</f>
        <v>7.2005752491455896E-2</v>
      </c>
      <c r="C202" s="82" t="str">
        <f ca="1">[1]!threepairs_C2($C$199)</f>
        <v>yield-to-maturity</v>
      </c>
      <c r="D202" s="77"/>
      <c r="F202" s="108">
        <f ca="1">[1]!onepair_C($G$199)</f>
        <v>8.2806615365174294E-2</v>
      </c>
      <c r="G202" s="376">
        <f ca="1">[1]!onepair_C2($G$199)</f>
        <v>2.1843384634825699E-2</v>
      </c>
      <c r="H202" s="77"/>
      <c r="J202" s="108">
        <f ca="1">[1]!stdnum_C($K$199)</f>
        <v>1.4270659285157097E-2</v>
      </c>
      <c r="K202" s="82"/>
      <c r="L202" s="77"/>
    </row>
    <row r="203" spans="1:12" x14ac:dyDescent="0.35">
      <c r="B203" s="108">
        <f ca="1">[1]!threepairs_D($C$199)</f>
        <v>1.8994247508544101E-2</v>
      </c>
      <c r="C203" s="82" t="str">
        <f ca="1">[1]!threepairs_D2($C$199)</f>
        <v>yield-to-maturity</v>
      </c>
      <c r="D203" s="77"/>
      <c r="F203" s="108">
        <f ca="1">[1]!onepair_D($G$199)</f>
        <v>8.2806615365174294E-2</v>
      </c>
      <c r="G203" s="376">
        <f ca="1">[1]!onepair_D2($G$199)</f>
        <v>1.8994247508544101E-2</v>
      </c>
      <c r="H203" s="77"/>
      <c r="J203" s="108">
        <f ca="1">[1]!stdnum_D($K$199)</f>
        <v>1.8994247508544101E-2</v>
      </c>
      <c r="K203" s="82"/>
      <c r="L203" s="77"/>
    </row>
    <row r="204" spans="1:12" ht="16" thickBot="1" x14ac:dyDescent="0.4">
      <c r="B204" s="109">
        <f ca="1">[1]!threepairs_E($C$199)</f>
        <v>7.2005752491455896E-2</v>
      </c>
      <c r="C204" s="84" t="str">
        <f ca="1">[1]!threepairs_E2($C$199)</f>
        <v>current yield</v>
      </c>
      <c r="D204" s="78"/>
      <c r="F204" s="109">
        <f ca="1">[1]!onepair_E($G$199)</f>
        <v>6.2613697818657305E-2</v>
      </c>
      <c r="G204" s="377">
        <f ca="1">[1]!onepair_E2($G$199)</f>
        <v>2.1843384634825699E-2</v>
      </c>
      <c r="H204" s="78"/>
      <c r="J204" s="109">
        <f ca="1">[1]!stdnum_E($K$199)</f>
        <v>1.5697725213672808E-2</v>
      </c>
      <c r="K204" s="84"/>
      <c r="L204" s="78"/>
    </row>
    <row r="205" spans="1:12" ht="16" thickTop="1" x14ac:dyDescent="0.35"/>
    <row r="207" spans="1:12" x14ac:dyDescent="0.35">
      <c r="A207" s="88" t="s">
        <v>3126</v>
      </c>
    </row>
    <row r="208" spans="1:12" x14ac:dyDescent="0.35">
      <c r="A208" s="2" t="str">
        <f ca="1">INDEX($B$2:$M$2,D208)</f>
        <v>January</v>
      </c>
      <c r="B208" s="2" t="s">
        <v>2639</v>
      </c>
      <c r="D208" s="2">
        <f ca="1">RANDBETWEEN(1,12)</f>
        <v>1</v>
      </c>
      <c r="F208" s="29">
        <f ca="1">RANDBETWEEN(65,105)/1000</f>
        <v>0.08</v>
      </c>
      <c r="G208" s="2" t="s">
        <v>3128</v>
      </c>
    </row>
    <row r="209" spans="1:8" x14ac:dyDescent="0.35">
      <c r="A209" s="2" t="str">
        <f ca="1">INDEX($B$2:$M$2,D209)</f>
        <v>January</v>
      </c>
      <c r="B209" s="2" t="s">
        <v>2640</v>
      </c>
      <c r="D209" s="2">
        <f ca="1">D208+(RANDBETWEEN(0,1))*IF(D208&lt;7,6,-6)</f>
        <v>1</v>
      </c>
      <c r="F209" s="2">
        <f ca="1">RANDBETWEEN(2,10)*5</f>
        <v>35</v>
      </c>
      <c r="G209" s="9" t="s">
        <v>3127</v>
      </c>
    </row>
    <row r="210" spans="1:8" x14ac:dyDescent="0.35">
      <c r="A210" s="2">
        <f ca="1">2525+D210</f>
        <v>2544</v>
      </c>
      <c r="B210" s="2" t="s">
        <v>2641</v>
      </c>
      <c r="D210" s="2">
        <f ca="1">RANDBETWEEN(5,20)</f>
        <v>19</v>
      </c>
      <c r="F210" s="9">
        <f ca="1">F208+F209/10000</f>
        <v>8.3500000000000005E-2</v>
      </c>
      <c r="G210" s="29" t="s">
        <v>1720</v>
      </c>
    </row>
    <row r="211" spans="1:8" x14ac:dyDescent="0.35">
      <c r="A211" s="2">
        <f ca="1">2*(D210-1)+IF(D208&lt;7,1,0)+IF(D209&lt;7,1,2)</f>
        <v>38</v>
      </c>
      <c r="B211" s="2" t="s">
        <v>1845</v>
      </c>
      <c r="F211" s="106">
        <f ca="1">-PV(F210/2,A211,C213,1000)</f>
        <v>1391.9675453153577</v>
      </c>
      <c r="G211" s="2" t="s">
        <v>2242</v>
      </c>
    </row>
    <row r="212" spans="1:8" x14ac:dyDescent="0.35">
      <c r="A212" s="114">
        <f ca="1">ROUND(C212/10,2)</f>
        <v>143.58000000000001</v>
      </c>
      <c r="B212" s="2" t="s">
        <v>3728</v>
      </c>
      <c r="C212" s="8">
        <f ca="1">-PV(F208/2,A211,C213,1000)</f>
        <v>1435.7769452270666</v>
      </c>
      <c r="F212" s="114">
        <f ca="1">F211/10</f>
        <v>139.19675453153576</v>
      </c>
    </row>
    <row r="213" spans="1:8" x14ac:dyDescent="0.35">
      <c r="A213" s="29">
        <f ca="1">F208+(IF(RANDBETWEEN(0,1)=0,1,-1))*RANDBETWEEN(20,45)/1000</f>
        <v>0.125</v>
      </c>
      <c r="B213" s="2" t="s">
        <v>2293</v>
      </c>
      <c r="C213" s="13">
        <f ca="1">A213*1000/2</f>
        <v>62.5</v>
      </c>
    </row>
    <row r="215" spans="1:8" ht="16" thickBot="1" x14ac:dyDescent="0.4">
      <c r="B215" s="88" t="s">
        <v>3131</v>
      </c>
      <c r="F215" s="88" t="s">
        <v>3132</v>
      </c>
    </row>
    <row r="216" spans="1:8" ht="16.5" thickTop="1" thickBot="1" x14ac:dyDescent="0.4">
      <c r="B216" s="76" t="str">
        <f ca="1">[1]!std_ans($C$216)</f>
        <v>D</v>
      </c>
      <c r="C216" s="79" t="str">
        <f ca="1" xml:space="preserve"> "/\" &amp;RANDBETWEEN( 1,120) &amp; "/\" &amp;RANDBETWEEN( 1,120) &amp; "/\" &amp;0.1 &amp; "/\" &amp; F212</f>
        <v>/\89/\77/\0.1/\139.196754531536</v>
      </c>
      <c r="D216" s="80" t="s">
        <v>3129</v>
      </c>
      <c r="F216" s="76" t="str">
        <f ca="1">[1]!alpha_ans($G$216)</f>
        <v>A</v>
      </c>
      <c r="G216" s="79" t="str">
        <f ca="1" xml:space="preserve"> "/\" &amp;RANDBETWEEN( 1,5) &amp; "/\" &amp;RANDBETWEEN( 1,120) &amp; "/\" &amp;RANDBETWEEN( 1,6) &amp; "/\" &amp;RANDBETWEEN( 1,2) &amp; "/\" &amp; F208 &amp; "/\" &amp; "Mask" &amp; "/\" &amp; "Mask" &amp; "/\" &amp; F212 &amp; "/\" &amp; "Mask"</f>
        <v>/\1/\23/\2/\1/\0.08/\Mask/\Mask/\139.196754531536/\Mask</v>
      </c>
      <c r="H216" s="80" t="s">
        <v>3130</v>
      </c>
    </row>
    <row r="217" spans="1:8" ht="16" thickTop="1" x14ac:dyDescent="0.35">
      <c r="B217" s="116">
        <f ca="1">[1]!stdnum_A($C$216)</f>
        <v>115.03864010870741</v>
      </c>
      <c r="C217" s="82"/>
      <c r="D217" s="77"/>
      <c r="F217" s="108">
        <f ca="1">[1]!onepair_A($G$216)</f>
        <v>0.08</v>
      </c>
      <c r="G217" s="117">
        <f ca="1">[1]!onepair_A2($G$216)</f>
        <v>139.19675453153599</v>
      </c>
      <c r="H217" s="77"/>
    </row>
    <row r="218" spans="1:8" x14ac:dyDescent="0.35">
      <c r="B218" s="116">
        <f ca="1">[1]!stdnum_B($C$216)</f>
        <v>153.1164299846896</v>
      </c>
      <c r="C218" s="82"/>
      <c r="D218" s="77"/>
      <c r="F218" s="108">
        <f ca="1">[1]!onepair_B($G$216)</f>
        <v>9.1999999999999998E-2</v>
      </c>
      <c r="G218" s="117">
        <f ca="1">[1]!onepair_B2($G$216)</f>
        <v>121.040656114379</v>
      </c>
      <c r="H218" s="77"/>
    </row>
    <row r="219" spans="1:8" x14ac:dyDescent="0.35">
      <c r="B219" s="116">
        <f ca="1">[1]!stdnum_C($C$216)</f>
        <v>126.54250411957817</v>
      </c>
      <c r="C219" s="82"/>
      <c r="D219" s="77"/>
      <c r="F219" s="108">
        <f ca="1">[1]!onepair_C($G$216)</f>
        <v>9.1999999999999998E-2</v>
      </c>
      <c r="G219" s="117">
        <f ca="1">[1]!onepair_C2($G$216)</f>
        <v>139.19675453153599</v>
      </c>
      <c r="H219" s="77"/>
    </row>
    <row r="220" spans="1:8" x14ac:dyDescent="0.35">
      <c r="B220" s="116">
        <f ca="1">[1]!stdnum_D($C$216)</f>
        <v>139.19675453153599</v>
      </c>
      <c r="C220" s="82"/>
      <c r="D220" s="77"/>
      <c r="F220" s="108">
        <f ca="1">[1]!onepair_D($G$216)</f>
        <v>0.10580000000000001</v>
      </c>
      <c r="G220" s="117">
        <f ca="1">[1]!onepair_D2($G$216)</f>
        <v>139.19675453153599</v>
      </c>
      <c r="H220" s="77"/>
    </row>
    <row r="221" spans="1:8" ht="16" thickBot="1" x14ac:dyDescent="0.4">
      <c r="B221" s="118">
        <f ca="1">[1]!stdnum_E($C$216)</f>
        <v>104.58058191700673</v>
      </c>
      <c r="C221" s="84"/>
      <c r="D221" s="78"/>
      <c r="F221" s="109">
        <f ca="1">[1]!onepair_E($G$216)</f>
        <v>0.10580000000000001</v>
      </c>
      <c r="G221" s="119">
        <f ca="1">[1]!onepair_E2($G$216)</f>
        <v>121.040656114379</v>
      </c>
      <c r="H221" s="78"/>
    </row>
    <row r="222" spans="1:8" ht="16" thickTop="1" x14ac:dyDescent="0.35"/>
    <row r="224" spans="1:8" x14ac:dyDescent="0.35">
      <c r="A224" s="88" t="s">
        <v>3713</v>
      </c>
    </row>
    <row r="225" spans="1:7" x14ac:dyDescent="0.35">
      <c r="A225" s="29">
        <f ca="1">RANDBETWEEN(65,105)/1000</f>
        <v>9.9000000000000005E-2</v>
      </c>
      <c r="B225" s="2" t="s">
        <v>2293</v>
      </c>
      <c r="C225" s="13">
        <f ca="1">A225*1000/2</f>
        <v>49.5</v>
      </c>
      <c r="F225" s="106">
        <f ca="1">-PV(A226/2,A227,C225,1000)</f>
        <v>930.43211239030143</v>
      </c>
      <c r="G225" s="2" t="s">
        <v>2839</v>
      </c>
    </row>
    <row r="226" spans="1:7" x14ac:dyDescent="0.35">
      <c r="A226" s="29">
        <f ca="1">A225+(IF(RANDBETWEEN(0,1)=0,1,-1))*RANDBETWEEN(10,35)/1000</f>
        <v>0.113</v>
      </c>
      <c r="B226" s="2" t="s">
        <v>3128</v>
      </c>
      <c r="F226" s="106">
        <f ca="1">-PV(A226/2,A227-A228,C225,1000)</f>
        <v>970.23056531568602</v>
      </c>
      <c r="G226" s="2" t="s">
        <v>3715</v>
      </c>
    </row>
    <row r="227" spans="1:7" x14ac:dyDescent="0.35">
      <c r="A227" s="2">
        <f ca="1">RANDBETWEEN(10,30)</f>
        <v>15</v>
      </c>
      <c r="B227" s="2" t="s">
        <v>2471</v>
      </c>
    </row>
    <row r="228" spans="1:7" x14ac:dyDescent="0.35">
      <c r="A228" s="2">
        <f ca="1">ROUND(A227/1.5,0)</f>
        <v>10</v>
      </c>
      <c r="B228" s="2" t="s">
        <v>3714</v>
      </c>
    </row>
    <row r="229" spans="1:7" ht="16" thickBot="1" x14ac:dyDescent="0.4"/>
    <row r="230" spans="1:7" ht="16.5" thickTop="1" thickBot="1" x14ac:dyDescent="0.4">
      <c r="B230" s="76" t="str">
        <f ca="1">[1]!std_ans($C$230)</f>
        <v>E</v>
      </c>
      <c r="C230" s="79" t="str">
        <f ca="1" xml:space="preserve"> "/\" &amp;RANDBETWEEN( 1,120) &amp; "/\" &amp;RANDBETWEEN( 1,120) &amp; "/\" &amp;0.1 &amp; "/\" &amp; F226</f>
        <v>/\36/\41/\0.1/\970.230565315686</v>
      </c>
      <c r="D230" s="80" t="s">
        <v>3716</v>
      </c>
    </row>
    <row r="231" spans="1:7" ht="16" thickTop="1" x14ac:dyDescent="0.35">
      <c r="B231" s="302">
        <f ca="1">[1]!stdnum_A($C$230)</f>
        <v>1173.9789840319802</v>
      </c>
      <c r="C231" s="82"/>
      <c r="D231" s="77"/>
    </row>
    <row r="232" spans="1:7" x14ac:dyDescent="0.35">
      <c r="B232" s="302">
        <f ca="1">[1]!stdnum_B($C$230)</f>
        <v>1291.3768824351785</v>
      </c>
      <c r="C232" s="82"/>
      <c r="D232" s="77"/>
    </row>
    <row r="233" spans="1:7" x14ac:dyDescent="0.35">
      <c r="B233" s="302">
        <f ca="1">[1]!stdnum_C($C$230)</f>
        <v>1067.2536218472546</v>
      </c>
      <c r="C233" s="82"/>
      <c r="D233" s="77"/>
    </row>
    <row r="234" spans="1:7" x14ac:dyDescent="0.35">
      <c r="B234" s="302">
        <f ca="1">[1]!stdnum_D($C$230)</f>
        <v>882.02778665062363</v>
      </c>
      <c r="C234" s="82"/>
      <c r="D234" s="77"/>
    </row>
    <row r="235" spans="1:7" ht="16" thickBot="1" x14ac:dyDescent="0.4">
      <c r="B235" s="303">
        <f ca="1">[1]!stdnum_E($C$230)</f>
        <v>970.23056531568602</v>
      </c>
      <c r="C235" s="84"/>
      <c r="D235" s="78"/>
    </row>
    <row r="236" spans="1:7" ht="16" thickTop="1" x14ac:dyDescent="0.35"/>
    <row r="238" spans="1:7" x14ac:dyDescent="0.35">
      <c r="A238" s="88" t="s">
        <v>534</v>
      </c>
    </row>
    <row r="239" spans="1:7" x14ac:dyDescent="0.35">
      <c r="A239" s="106">
        <f ca="1">PMT(A241/2,A242,-F239,1000)</f>
        <v>33.975725034445503</v>
      </c>
      <c r="B239" s="2" t="s">
        <v>3545</v>
      </c>
      <c r="C239" s="29">
        <f ca="1">RANDBETWEEN(65,105)/1000</f>
        <v>6.7000000000000004E-2</v>
      </c>
      <c r="F239" s="33">
        <f ca="1">ROUND(-PV(A241/2,A242,C239*1000/2,1000),-1)</f>
        <v>910</v>
      </c>
      <c r="G239" s="2" t="s">
        <v>2839</v>
      </c>
    </row>
    <row r="240" spans="1:7" x14ac:dyDescent="0.35">
      <c r="A240" s="29">
        <f ca="1">A239*2/1000</f>
        <v>6.7951450068891001E-2</v>
      </c>
      <c r="B240" s="2" t="s">
        <v>2293</v>
      </c>
      <c r="F240" s="33">
        <f ca="1">-PV(A241/2,A242-A243,A239,1000)</f>
        <v>962.19968188853113</v>
      </c>
      <c r="G240" s="2" t="s">
        <v>3715</v>
      </c>
    </row>
    <row r="241" spans="1:12" x14ac:dyDescent="0.35">
      <c r="A241" s="29">
        <f ca="1">C239+(IF(RANDBETWEEN(0,1)=0,1,-1))*RANDBETWEEN(10,35)/1000</f>
        <v>8.8999999999999996E-2</v>
      </c>
      <c r="B241" s="2" t="s">
        <v>3128</v>
      </c>
      <c r="F241" s="29">
        <f ca="1">A239*2/F239</f>
        <v>7.4671923152627481E-2</v>
      </c>
      <c r="G241" s="2" t="s">
        <v>535</v>
      </c>
    </row>
    <row r="242" spans="1:12" x14ac:dyDescent="0.35">
      <c r="A242" s="2">
        <f ca="1">RANDBETWEEN(10,30)</f>
        <v>11</v>
      </c>
      <c r="B242" s="2" t="s">
        <v>2471</v>
      </c>
      <c r="F242" s="29">
        <f ca="1">A239*2/F240</f>
        <v>7.062094422596478E-2</v>
      </c>
      <c r="G242" s="2" t="s">
        <v>536</v>
      </c>
    </row>
    <row r="243" spans="1:12" x14ac:dyDescent="0.35">
      <c r="A243" s="2">
        <f ca="1">ROUND(A242/1.5,0)</f>
        <v>7</v>
      </c>
      <c r="B243" s="2" t="s">
        <v>3714</v>
      </c>
    </row>
    <row r="245" spans="1:12" ht="16" thickBot="1" x14ac:dyDescent="0.4">
      <c r="B245" s="88" t="s">
        <v>540</v>
      </c>
      <c r="F245" s="88" t="s">
        <v>541</v>
      </c>
      <c r="J245" s="88" t="s">
        <v>542</v>
      </c>
    </row>
    <row r="246" spans="1:12" ht="16.5" thickTop="1" thickBot="1" x14ac:dyDescent="0.4">
      <c r="B246" s="76" t="str">
        <f ca="1">[1]!std_ans($C$246)</f>
        <v>A</v>
      </c>
      <c r="C246" s="79" t="str">
        <f ca="1" xml:space="preserve"> "/\" &amp;RANDBETWEEN( 1,120) &amp; "/\" &amp;RANDBETWEEN( 1,120) &amp; "/\" &amp;0.1 &amp; "/\" &amp; A240</f>
        <v>/\21/\57/\0.1/\0.067951450068891</v>
      </c>
      <c r="D246" s="80" t="s">
        <v>537</v>
      </c>
      <c r="F246" s="76" t="str">
        <f ca="1">[1]!std_ans($G$246)</f>
        <v>B</v>
      </c>
      <c r="G246" s="79" t="str">
        <f ca="1" xml:space="preserve"> "/\" &amp;RANDBETWEEN( 1,120) &amp; "/\" &amp;RANDBETWEEN( 1,120) &amp; "/\" &amp;0.1 &amp; "/\" &amp; F241</f>
        <v>/\53/\40/\0.1/\0.0746719231526275</v>
      </c>
      <c r="H246" s="80" t="s">
        <v>538</v>
      </c>
      <c r="J246" s="76" t="str">
        <f ca="1">[1]!std_ans($K$246)</f>
        <v>E</v>
      </c>
      <c r="K246" s="79" t="str">
        <f ca="1" xml:space="preserve"> "/\" &amp;RANDBETWEEN( 1,120) &amp; "/\" &amp;RANDBETWEEN( 1,120) &amp; "/\" &amp;0.1 &amp; "/\" &amp; F242</f>
        <v>/\118/\15/\0.1/\0.0706209442259648</v>
      </c>
      <c r="L246" s="80" t="s">
        <v>539</v>
      </c>
    </row>
    <row r="247" spans="1:12" ht="16" thickTop="1" x14ac:dyDescent="0.35">
      <c r="B247" s="92">
        <f ca="1">[1]!stdnum_A($C$246)</f>
        <v>6.7951450068891001E-2</v>
      </c>
      <c r="C247" s="82"/>
      <c r="D247" s="77"/>
      <c r="F247" s="92">
        <f ca="1">[1]!stdnum_A($G$246)</f>
        <v>8.2139115467890253E-2</v>
      </c>
      <c r="G247" s="82"/>
      <c r="H247" s="77"/>
      <c r="J247" s="92">
        <f ca="1">[1]!stdnum_A($K$246)</f>
        <v>0.10339612444123508</v>
      </c>
      <c r="K247" s="82"/>
      <c r="L247" s="77"/>
    </row>
    <row r="248" spans="1:12" x14ac:dyDescent="0.35">
      <c r="B248" s="92">
        <f ca="1">[1]!stdnum_B($C$246)</f>
        <v>8.2221254583358119E-2</v>
      </c>
      <c r="C248" s="82"/>
      <c r="D248" s="77"/>
      <c r="F248" s="92">
        <f ca="1">[1]!stdnum_B($G$246)</f>
        <v>7.4671923152627495E-2</v>
      </c>
      <c r="G248" s="82"/>
      <c r="H248" s="77"/>
      <c r="J248" s="92">
        <f ca="1">[1]!stdnum_B($K$246)</f>
        <v>7.7683038648561284E-2</v>
      </c>
      <c r="K248" s="82"/>
      <c r="L248" s="77"/>
    </row>
    <row r="249" spans="1:12" x14ac:dyDescent="0.35">
      <c r="B249" s="92">
        <f ca="1">[1]!stdnum_C($C$246)</f>
        <v>7.4746595075780103E-2</v>
      </c>
      <c r="C249" s="82"/>
      <c r="D249" s="77"/>
      <c r="F249" s="92">
        <f ca="1">[1]!stdnum_C($G$246)</f>
        <v>6.7883566502388623E-2</v>
      </c>
      <c r="G249" s="82"/>
      <c r="H249" s="77"/>
      <c r="J249" s="92">
        <f ca="1">[1]!stdnum_C($K$246)</f>
        <v>9.3996476764759168E-2</v>
      </c>
      <c r="K249" s="82"/>
      <c r="L249" s="77"/>
    </row>
    <row r="250" spans="1:12" x14ac:dyDescent="0.35">
      <c r="B250" s="92">
        <f ca="1">[1]!stdnum_D($C$246)</f>
        <v>6.1774045517173637E-2</v>
      </c>
      <c r="C250" s="82"/>
      <c r="D250" s="77"/>
      <c r="F250" s="92">
        <f ca="1">[1]!stdnum_D($G$246)</f>
        <v>9.0353027014679288E-2</v>
      </c>
      <c r="G250" s="82"/>
      <c r="H250" s="77"/>
      <c r="J250" s="92">
        <f ca="1">[1]!stdnum_D($K$246)</f>
        <v>8.5451342513417419E-2</v>
      </c>
      <c r="K250" s="82"/>
      <c r="L250" s="77"/>
    </row>
    <row r="251" spans="1:12" ht="16" thickBot="1" x14ac:dyDescent="0.4">
      <c r="B251" s="93">
        <f ca="1">[1]!stdnum_E($C$246)</f>
        <v>5.6158223197430572E-2</v>
      </c>
      <c r="C251" s="84"/>
      <c r="D251" s="78"/>
      <c r="F251" s="93">
        <f ca="1">[1]!stdnum_E($G$246)</f>
        <v>9.9388329716147222E-2</v>
      </c>
      <c r="G251" s="84"/>
      <c r="H251" s="78"/>
      <c r="J251" s="93">
        <f ca="1">[1]!stdnum_E($K$246)</f>
        <v>7.0620944225964793E-2</v>
      </c>
      <c r="K251" s="84"/>
      <c r="L251" s="78"/>
    </row>
    <row r="252" spans="1:12" ht="16" thickTop="1" x14ac:dyDescent="0.35"/>
    <row r="254" spans="1:12" x14ac:dyDescent="0.35">
      <c r="A254" s="88" t="s">
        <v>3618</v>
      </c>
    </row>
    <row r="255" spans="1:12" x14ac:dyDescent="0.35">
      <c r="A255" s="2" t="str">
        <f ca="1">INDEX($B$2:$M$2,D255)</f>
        <v>August</v>
      </c>
      <c r="B255" s="2" t="s">
        <v>2639</v>
      </c>
      <c r="D255" s="2">
        <f ca="1">RANDBETWEEN(1,12)</f>
        <v>8</v>
      </c>
      <c r="F255" s="29">
        <f ca="1">RANDBETWEEN(65,105)/1000</f>
        <v>7.1999999999999995E-2</v>
      </c>
      <c r="G255" s="2" t="s">
        <v>3128</v>
      </c>
    </row>
    <row r="256" spans="1:12" x14ac:dyDescent="0.35">
      <c r="A256" s="2" t="str">
        <f ca="1">INDEX($B$2:$M$2,D256)</f>
        <v>August</v>
      </c>
      <c r="B256" s="2" t="s">
        <v>2640</v>
      </c>
      <c r="D256" s="2">
        <f ca="1">D255+(RANDBETWEEN(0,1))*IF(D255&lt;7,6,-6)</f>
        <v>8</v>
      </c>
      <c r="F256" s="29">
        <f ca="1">C260*2/C259</f>
        <v>8.3954528602783171E-2</v>
      </c>
      <c r="G256" s="9" t="s">
        <v>3619</v>
      </c>
    </row>
    <row r="257" spans="1:8" x14ac:dyDescent="0.35">
      <c r="A257" s="2">
        <f ca="1">2525+D257</f>
        <v>2538</v>
      </c>
      <c r="B257" s="2" t="s">
        <v>2641</v>
      </c>
      <c r="D257" s="2">
        <f ca="1">RANDBETWEEN(5,20)</f>
        <v>13</v>
      </c>
      <c r="F257" s="9"/>
      <c r="G257" s="29"/>
    </row>
    <row r="258" spans="1:8" x14ac:dyDescent="0.35">
      <c r="A258" s="2">
        <f ca="1">2*(D257-1)+IF(D255&lt;7,1,0)+IF(D256&lt;7,1,2)</f>
        <v>26</v>
      </c>
      <c r="B258" s="2" t="s">
        <v>1845</v>
      </c>
      <c r="F258" s="106"/>
    </row>
    <row r="259" spans="1:8" x14ac:dyDescent="0.35">
      <c r="A259" s="114">
        <f ca="1">ROUND(C259/10,2)</f>
        <v>133.41</v>
      </c>
      <c r="B259" s="2" t="s">
        <v>3728</v>
      </c>
      <c r="C259" s="8">
        <f ca="1">-PV(F255/2,A258,C260,1000)</f>
        <v>1334.0554924667529</v>
      </c>
      <c r="F259" s="114"/>
    </row>
    <row r="260" spans="1:8" x14ac:dyDescent="0.35">
      <c r="A260" s="29">
        <f ca="1">F255+(IF(RANDBETWEEN(0,1)=0,1,-1))*RANDBETWEEN(20,45)/1000</f>
        <v>0.11199999999999999</v>
      </c>
      <c r="B260" s="2" t="s">
        <v>2293</v>
      </c>
      <c r="C260" s="13">
        <f ca="1">A260*1000/2</f>
        <v>55.999999999999993</v>
      </c>
    </row>
    <row r="262" spans="1:8" ht="16" thickBot="1" x14ac:dyDescent="0.4">
      <c r="B262" s="88" t="s">
        <v>672</v>
      </c>
      <c r="F262" s="88" t="s">
        <v>674</v>
      </c>
    </row>
    <row r="263" spans="1:8" ht="16.5" thickTop="1" thickBot="1" x14ac:dyDescent="0.4">
      <c r="B263" s="76" t="str">
        <f ca="1">[1]!std_ans($C$263)</f>
        <v>A</v>
      </c>
      <c r="C263" s="79" t="str">
        <f ca="1" xml:space="preserve"> "/\" &amp;RANDBETWEEN( 1,120) &amp; "/\" &amp;RANDBETWEEN( 1,120) &amp; "/\" &amp;0.1 &amp; "/\" &amp; A260</f>
        <v>/\17/\3/\0.1/\0.112</v>
      </c>
      <c r="D263" s="80" t="s">
        <v>3620</v>
      </c>
      <c r="F263" s="76" t="str">
        <f ca="1">[1]!alpha_ans($G$263)</f>
        <v>C</v>
      </c>
      <c r="G263" s="79" t="str">
        <f ca="1" xml:space="preserve"> "/\" &amp;RANDBETWEEN( 1,5) &amp; "/\" &amp;RANDBETWEEN( 1,120) &amp; "/\" &amp;RANDBETWEEN( 1,6) &amp; "/\" &amp;RANDBETWEEN( 1,2) &amp; "/\" &amp; A260 &amp; "/\" &amp; "Mask" &amp; "/\" &amp; "Mask" &amp; "/\" &amp; F256 &amp; "/\" &amp; "Mask"</f>
        <v>/\3/\90/\6/\1/\0.112/\Mask/\Mask/\0.0839545286027832/\Mask</v>
      </c>
      <c r="H263" s="80" t="s">
        <v>673</v>
      </c>
    </row>
    <row r="264" spans="1:8" ht="16" thickTop="1" x14ac:dyDescent="0.35">
      <c r="B264" s="92">
        <f ca="1">[1]!stdnum_A($C$263)</f>
        <v>0.112</v>
      </c>
      <c r="C264" s="82"/>
      <c r="D264" s="77"/>
      <c r="F264" s="108">
        <f ca="1">[1]!onepair_A($G$263)</f>
        <v>8.4688090737240096E-2</v>
      </c>
      <c r="G264" s="376">
        <f ca="1">[1]!onepair_A2($G$263)</f>
        <v>8.3954528602783199E-2</v>
      </c>
      <c r="H264" s="77"/>
    </row>
    <row r="265" spans="1:8" x14ac:dyDescent="0.35">
      <c r="B265" s="92">
        <f ca="1">[1]!stdnum_B($C$263)</f>
        <v>0.13552000000000003</v>
      </c>
      <c r="C265" s="82"/>
      <c r="D265" s="77"/>
      <c r="F265" s="108">
        <f ca="1">[1]!onepair_B($G$263)</f>
        <v>9.7391304347826099E-2</v>
      </c>
      <c r="G265" s="376">
        <f ca="1">[1]!onepair_B2($G$263)</f>
        <v>7.3003937915463696E-2</v>
      </c>
      <c r="H265" s="77"/>
    </row>
    <row r="266" spans="1:8" x14ac:dyDescent="0.35">
      <c r="B266" s="92">
        <f ca="1">[1]!stdnum_C($C$263)</f>
        <v>0.16397920000000005</v>
      </c>
      <c r="C266" s="82"/>
      <c r="D266" s="77"/>
      <c r="F266" s="108">
        <f ca="1">[1]!onepair_C($G$263)</f>
        <v>0.112</v>
      </c>
      <c r="G266" s="376">
        <f ca="1">[1]!onepair_C2($G$263)</f>
        <v>8.3954528602783199E-2</v>
      </c>
      <c r="H266" s="77"/>
    </row>
    <row r="267" spans="1:8" x14ac:dyDescent="0.35">
      <c r="B267" s="92">
        <f ca="1">[1]!stdnum_D($C$263)</f>
        <v>0.12320000000000002</v>
      </c>
      <c r="C267" s="82"/>
      <c r="D267" s="77"/>
      <c r="F267" s="108">
        <f ca="1">[1]!onepair_D($G$263)</f>
        <v>9.7391304347826099E-2</v>
      </c>
      <c r="G267" s="376">
        <f ca="1">[1]!onepair_D2($G$263)</f>
        <v>8.3954528602783199E-2</v>
      </c>
      <c r="H267" s="77"/>
    </row>
    <row r="268" spans="1:8" ht="16" thickBot="1" x14ac:dyDescent="0.4">
      <c r="B268" s="93">
        <f ca="1">[1]!stdnum_E($C$263)</f>
        <v>0.14907200000000004</v>
      </c>
      <c r="C268" s="84"/>
      <c r="D268" s="78"/>
      <c r="F268" s="109">
        <f ca="1">[1]!onepair_E($G$263)</f>
        <v>0.112</v>
      </c>
      <c r="G268" s="377">
        <f ca="1">[1]!onepair_E2($G$263)</f>
        <v>7.3003937915463696E-2</v>
      </c>
      <c r="H268" s="78"/>
    </row>
    <row r="269" spans="1:8" ht="16" thickTop="1" x14ac:dyDescent="0.35"/>
    <row r="271" spans="1:8" x14ac:dyDescent="0.35">
      <c r="A271" s="88" t="s">
        <v>1669</v>
      </c>
    </row>
    <row r="272" spans="1:8" x14ac:dyDescent="0.35">
      <c r="A272" s="2" t="str">
        <f ca="1">INDEX($B$2:$M$2,D272)</f>
        <v>December</v>
      </c>
      <c r="B272" s="2" t="s">
        <v>2639</v>
      </c>
      <c r="D272" s="2">
        <f ca="1">RANDBETWEEN(1,12)</f>
        <v>12</v>
      </c>
      <c r="F272" s="29">
        <f ca="1">RANDBETWEEN(75,115)/1000</f>
        <v>9.6000000000000002E-2</v>
      </c>
      <c r="G272" s="2" t="s">
        <v>3128</v>
      </c>
    </row>
    <row r="273" spans="1:8" x14ac:dyDescent="0.35">
      <c r="A273" s="2" t="str">
        <f ca="1">INDEX($B$2:$M$2,D273)</f>
        <v>June</v>
      </c>
      <c r="B273" s="2" t="s">
        <v>2640</v>
      </c>
      <c r="D273" s="2">
        <f ca="1">D272+(RANDBETWEEN(0,1))*IF(D272&lt;7,6,-6)</f>
        <v>6</v>
      </c>
      <c r="F273" s="29">
        <f ca="1">C277*2/C276</f>
        <v>8.1473547698817816E-2</v>
      </c>
      <c r="G273" s="9" t="s">
        <v>535</v>
      </c>
    </row>
    <row r="274" spans="1:8" x14ac:dyDescent="0.35">
      <c r="A274" s="2">
        <f ca="1">2525+D274</f>
        <v>2543</v>
      </c>
      <c r="B274" s="2" t="s">
        <v>2641</v>
      </c>
      <c r="D274" s="2">
        <f ca="1">RANDBETWEEN(5,20)</f>
        <v>18</v>
      </c>
      <c r="F274" s="106">
        <f ca="1">-PV(F272/2,1,C277,1000)</f>
        <v>978.05343511450383</v>
      </c>
      <c r="G274" s="29" t="s">
        <v>1670</v>
      </c>
    </row>
    <row r="275" spans="1:8" x14ac:dyDescent="0.35">
      <c r="A275" s="2">
        <f ca="1">2*(D274-1)+IF(D272&lt;7,1,0)+IF(D273&lt;7,1,2)</f>
        <v>35</v>
      </c>
      <c r="B275" s="2" t="s">
        <v>1845</v>
      </c>
      <c r="F275" s="29">
        <f ca="1">C277*2/F274</f>
        <v>5.1121951219512192E-2</v>
      </c>
      <c r="G275" s="9" t="s">
        <v>1671</v>
      </c>
    </row>
    <row r="276" spans="1:8" x14ac:dyDescent="0.35">
      <c r="A276" s="114">
        <f ca="1">ROUND(C276/10,2)</f>
        <v>61.37</v>
      </c>
      <c r="B276" s="2" t="s">
        <v>3728</v>
      </c>
      <c r="C276" s="8">
        <f ca="1">-PV(F272/2,A275,C277,1000)</f>
        <v>613.69611870633571</v>
      </c>
      <c r="F276" s="29">
        <f ca="1">F272-F275</f>
        <v>4.487804878048781E-2</v>
      </c>
      <c r="G276" s="2" t="s">
        <v>1672</v>
      </c>
    </row>
    <row r="277" spans="1:8" x14ac:dyDescent="0.35">
      <c r="A277" s="29">
        <f ca="1">F272-RANDBETWEEN(30,50)/1000</f>
        <v>0.05</v>
      </c>
      <c r="B277" s="2" t="s">
        <v>2293</v>
      </c>
      <c r="C277" s="13">
        <f ca="1">A277*1000/2</f>
        <v>25</v>
      </c>
      <c r="F277" s="9">
        <f ca="1">F272-F273</f>
        <v>1.4526452301182186E-2</v>
      </c>
      <c r="G277" s="2" t="s">
        <v>1674</v>
      </c>
    </row>
    <row r="279" spans="1:8" ht="16" thickBot="1" x14ac:dyDescent="0.4"/>
    <row r="280" spans="1:8" ht="16.5" thickTop="1" thickBot="1" x14ac:dyDescent="0.4">
      <c r="B280" s="76" t="str">
        <f ca="1">[1]!std_ans($C$280)</f>
        <v>B</v>
      </c>
      <c r="C280" s="79" t="str">
        <f ca="1" xml:space="preserve"> "/\" &amp;RANDBETWEEN( 1,120) &amp; "/\" &amp;RANDBETWEEN( 1,120) &amp; "/\" &amp;0.1 &amp; "/\" &amp; F276</f>
        <v>/\53/\89/\0.1/\0.0448780487804878</v>
      </c>
      <c r="D280" s="80" t="s">
        <v>1673</v>
      </c>
      <c r="F280" s="76" t="str">
        <f ca="1">[1]!alpha_ans($G$280)</f>
        <v>B</v>
      </c>
      <c r="G280" s="79" t="str">
        <f ca="1" xml:space="preserve"> "/\" &amp;RANDBETWEEN( 1,5) &amp; "/\" &amp;RANDBETWEEN( 1,120) &amp; "/\" &amp;RANDBETWEEN( 1,6) &amp; "/\" &amp;RANDBETWEEN( 1,2) &amp; "/\" &amp; F277 &amp; "/\" &amp; "Mask" &amp; "/\" &amp; "Mask" &amp; "/\" &amp; F276 &amp; "/\" &amp; "Mask"</f>
        <v>/\2/\18/\1/\1/\0.0145264523011822/\Mask/\Mask/\0.0448780487804878/\Mask</v>
      </c>
      <c r="H280" s="80" t="s">
        <v>1675</v>
      </c>
    </row>
    <row r="281" spans="1:8" ht="16" thickTop="1" x14ac:dyDescent="0.35">
      <c r="B281" s="108">
        <f ca="1">[1]!stdnum_A($C$280)</f>
        <v>4.9365853658536588E-2</v>
      </c>
      <c r="C281" s="82"/>
      <c r="D281" s="77"/>
      <c r="F281" s="108">
        <f ca="1">[1]!onepair_A($G$280)</f>
        <v>1.4526452301182199E-2</v>
      </c>
      <c r="G281" s="376">
        <f ca="1">[1]!onepair_A2($G$280)</f>
        <v>3.9024390243902397E-2</v>
      </c>
      <c r="H281" s="77"/>
    </row>
    <row r="282" spans="1:8" x14ac:dyDescent="0.35">
      <c r="B282" s="108">
        <f ca="1">[1]!stdnum_B($C$280)</f>
        <v>4.4878048780487803E-2</v>
      </c>
      <c r="C282" s="82"/>
      <c r="D282" s="77"/>
      <c r="F282" s="108">
        <f ca="1">[1]!onepair_B($G$280)</f>
        <v>1.4526452301182199E-2</v>
      </c>
      <c r="G282" s="376">
        <f ca="1">[1]!onepair_B2($G$280)</f>
        <v>4.4878048780487803E-2</v>
      </c>
      <c r="H282" s="77"/>
    </row>
    <row r="283" spans="1:8" x14ac:dyDescent="0.35">
      <c r="B283" s="108">
        <f ca="1">[1]!stdnum_C($C$280)</f>
        <v>3.7089296512799831E-2</v>
      </c>
      <c r="C283" s="82"/>
      <c r="D283" s="77"/>
      <c r="F283" s="108">
        <f ca="1">[1]!onepair_C($G$280)</f>
        <v>1.92112331683135E-2</v>
      </c>
      <c r="G283" s="376">
        <f ca="1">[1]!onepair_C2($G$280)</f>
        <v>3.9024390243902397E-2</v>
      </c>
      <c r="H283" s="77"/>
    </row>
    <row r="284" spans="1:8" x14ac:dyDescent="0.35">
      <c r="B284" s="108">
        <f ca="1">[1]!stdnum_D($C$280)</f>
        <v>4.0798226164079819E-2</v>
      </c>
      <c r="C284" s="82"/>
      <c r="D284" s="77"/>
      <c r="F284" s="108">
        <f ca="1">[1]!onepair_D($G$280)</f>
        <v>1.67054201463595E-2</v>
      </c>
      <c r="G284" s="376">
        <f ca="1">[1]!onepair_D2($G$280)</f>
        <v>3.9024390243902397E-2</v>
      </c>
      <c r="H284" s="77"/>
    </row>
    <row r="285" spans="1:8" ht="16" thickBot="1" x14ac:dyDescent="0.4">
      <c r="B285" s="109">
        <f ca="1">[1]!stdnum_E($C$280)</f>
        <v>3.371754228436348E-2</v>
      </c>
      <c r="C285" s="84"/>
      <c r="D285" s="78"/>
      <c r="F285" s="109">
        <f ca="1">[1]!onepair_E($G$280)</f>
        <v>1.67054201463595E-2</v>
      </c>
      <c r="G285" s="377">
        <f ca="1">[1]!onepair_E2($G$280)</f>
        <v>4.4878048780487803E-2</v>
      </c>
      <c r="H285" s="78"/>
    </row>
    <row r="286" spans="1:8" ht="16" thickTop="1" x14ac:dyDescent="0.35"/>
    <row r="288" spans="1:8" x14ac:dyDescent="0.35">
      <c r="A288" s="88" t="s">
        <v>1296</v>
      </c>
    </row>
    <row r="289" spans="1:10" x14ac:dyDescent="0.35">
      <c r="A289" s="29">
        <f ca="1">RANDBETWEEN(40,100)/1000</f>
        <v>6.9000000000000006E-2</v>
      </c>
      <c r="B289" s="2" t="s">
        <v>2293</v>
      </c>
      <c r="C289" s="29"/>
      <c r="E289" s="33">
        <f ca="1">RANDBETWEEN(105,120)*10</f>
        <v>1170</v>
      </c>
      <c r="F289" s="2" t="s">
        <v>2839</v>
      </c>
    </row>
    <row r="290" spans="1:10" x14ac:dyDescent="0.35">
      <c r="A290" s="33">
        <f ca="1">RANDBETWEEN(80,92)*10</f>
        <v>830</v>
      </c>
      <c r="B290" s="2" t="s">
        <v>2839</v>
      </c>
      <c r="E290" s="378">
        <f ca="1">PMT(A292/2,A291,-E289,1000)</f>
        <v>59.645008818824806</v>
      </c>
      <c r="F290" s="2" t="s">
        <v>827</v>
      </c>
    </row>
    <row r="291" spans="1:10" x14ac:dyDescent="0.35">
      <c r="A291" s="2">
        <f ca="1">RANDBETWEEN(10,30)</f>
        <v>22</v>
      </c>
      <c r="B291" s="2" t="s">
        <v>2471</v>
      </c>
      <c r="E291" s="29">
        <f ca="1">E290*2/1000</f>
        <v>0.11929001763764961</v>
      </c>
      <c r="F291" s="2" t="s">
        <v>1297</v>
      </c>
      <c r="H291" s="14">
        <f ca="1">ROUND(E291*MIN(vMask20,1/vMask20),3)</f>
        <v>9.5000000000000001E-2</v>
      </c>
      <c r="I291" s="14">
        <f ca="1">ROUND(E291*MAX(vMask20,1/vMask20),3)</f>
        <v>0.14899999999999999</v>
      </c>
    </row>
    <row r="292" spans="1:10" x14ac:dyDescent="0.35">
      <c r="A292" s="29">
        <f ca="1">2*RATE(A291,A289*1000/2,-A290,1000)</f>
        <v>9.4145008819468287E-2</v>
      </c>
      <c r="B292" s="2" t="s">
        <v>3128</v>
      </c>
      <c r="F292" s="29"/>
    </row>
    <row r="294" spans="1:10" x14ac:dyDescent="0.35">
      <c r="A294" s="2" t="s">
        <v>1422</v>
      </c>
      <c r="B294" s="2" t="str">
        <f ca="1">"If the coupon rate for Z is smaller than " &amp; ROUND(H291*100,1) &amp; "% then X definitely has the bigger YTM"</f>
        <v>If the coupon rate for Z is smaller than 9.5% then X definitely has the bigger YTM</v>
      </c>
    </row>
    <row r="295" spans="1:10" x14ac:dyDescent="0.35">
      <c r="A295" s="2" t="s">
        <v>1423</v>
      </c>
      <c r="B295" s="2" t="str">
        <f ca="1">IF(J295=1,"If the coupon rate for Z is smaller than " &amp; ROUND(I291*100,1) &amp; "% then X definitely has the bigger YTM","If the coupon rate for Z is smaller than " &amp; ROUND(H291*100,1) &amp; "% then Z definitely has the bigger YTM")</f>
        <v>If the coupon rate for Z is smaller than 14.9% then X definitely has the bigger YTM</v>
      </c>
      <c r="J295" s="2">
        <f ca="1">(RANDBETWEEN(0,1))</f>
        <v>1</v>
      </c>
    </row>
    <row r="296" spans="1:10" x14ac:dyDescent="0.35">
      <c r="A296" s="2" t="s">
        <v>1424</v>
      </c>
      <c r="B296" s="2" t="str">
        <f ca="1">"If the coupon rate for Z is bigger than " &amp; ROUND(I291*100,1) &amp; "% then Z definitely has the bigger YTM"</f>
        <v>If the coupon rate for Z is bigger than 14.9% then Z definitely has the bigger YTM</v>
      </c>
    </row>
    <row r="297" spans="1:10" x14ac:dyDescent="0.35">
      <c r="A297" s="2" t="s">
        <v>1425</v>
      </c>
      <c r="B297" s="2" t="str">
        <f ca="1">IF(J297=1,"If the coupon rate for Z is smaller than " &amp; ROUND(I291*100,1) &amp; "% then X definitely has the smaller YTM","If the coupon rate for Z is bigger than " &amp; ROUND(H291*100,1) &amp; "% then Z definitely has the bigger YTM")</f>
        <v>If the coupon rate for Z is smaller than 14.9% then X definitely has the smaller YTM</v>
      </c>
      <c r="J297" s="2">
        <f ca="1">(RANDBETWEEN(0,1))</f>
        <v>1</v>
      </c>
    </row>
    <row r="298" spans="1:10" x14ac:dyDescent="0.35">
      <c r="A298" s="2" t="s">
        <v>828</v>
      </c>
      <c r="B298" s="2" t="str">
        <f ca="1">"If the coupon rate for Z equals " &amp; ROUND(E291*100,2) &amp; "% then X and Z have the same YTM"</f>
        <v>If the coupon rate for Z equals 11.93% then X and Z have the same YTM</v>
      </c>
    </row>
    <row r="299" spans="1:10" x14ac:dyDescent="0.35">
      <c r="A299" s="2" t="s">
        <v>1427</v>
      </c>
      <c r="B299" s="2" t="str">
        <f ca="1">IF(J299=1,"If the coupon rate for Z equals " &amp; ROUND(H291*100,1) &amp; "% then X and Z have the same YTM","If the coupon rate for Z equals " &amp; ROUND(I291*100,1) &amp; "% then X and Z have the same YTM")</f>
        <v>If the coupon rate for Z equals 9.5% then X and Z have the same YTM</v>
      </c>
      <c r="J299" s="2">
        <f ca="1">(RANDBETWEEN(0,1))</f>
        <v>1</v>
      </c>
    </row>
    <row r="300" spans="1:10" ht="16" thickBot="1" x14ac:dyDescent="0.4"/>
    <row r="301" spans="1:10" ht="16.5" thickTop="1" thickBot="1" x14ac:dyDescent="0.4">
      <c r="B301" s="76" t="str">
        <f ca="1">[1]!alpha_ans($C$301)</f>
        <v>A</v>
      </c>
      <c r="C301" s="79" t="str">
        <f ca="1" xml:space="preserve"> "/\" &amp;RANDBETWEEN( 1,5) &amp; "/\" &amp;RANDBETWEEN( 1,3) &amp; "/\" &amp;RANDBETWEEN( 1,2) &amp; "/\" &amp;B294 &amp; "/\" &amp; B295 &amp; "/\" &amp; B296 &amp; "/\" &amp; B297 &amp; "/\" &amp; B298 &amp; "/\" &amp; B299</f>
        <v>/\1/\1/\2/\If the coupon rate for Z is smaller than 9.5% then X definitely has the bigger YTM/\If the coupon rate for Z is smaller than 14.9% then X definitely has the bigger YTM/\If the coupon rate for Z is bigger than 14.9% then Z definitely has the bigger YTM/\If the coupon rate for Z is smaller than 14.9% then X definitely has the smaller YTM/\If the coupon rate for Z equals 11.93% then X and Z have the same YTM/\If the coupon rate for Z equals 9.5% then X and Z have the same YTM</v>
      </c>
      <c r="D301" s="80" t="s">
        <v>829</v>
      </c>
    </row>
    <row r="302" spans="1:10" ht="16" thickTop="1" x14ac:dyDescent="0.35">
      <c r="B302" s="81" t="str">
        <f ca="1">[1]!complexV_A($C$301)</f>
        <v>If the coupon rate for Z is smaller than 9.5% then X definitely has the bigger YTM</v>
      </c>
      <c r="C302" s="82"/>
      <c r="D302" s="77"/>
    </row>
    <row r="303" spans="1:10" x14ac:dyDescent="0.35">
      <c r="B303" s="81" t="str">
        <f ca="1">[1]!complexV_B($C$301)</f>
        <v>If the coupon rate for Z is smaller than 14.9% then X definitely has the smaller YTM</v>
      </c>
      <c r="C303" s="82"/>
      <c r="D303" s="77"/>
    </row>
    <row r="304" spans="1:10" x14ac:dyDescent="0.35">
      <c r="B304" s="81" t="str">
        <f ca="1">[1]!complexV_C($C$301)</f>
        <v>If the coupon rate for Z equals 9.5% then X and Z have the same YTM</v>
      </c>
      <c r="C304" s="82"/>
      <c r="D304" s="77"/>
    </row>
    <row r="305" spans="1:8" x14ac:dyDescent="0.35">
      <c r="B305" s="81" t="str">
        <f ca="1">[1]!complexV_D($C$301)</f>
        <v>Two choices, A and B, are correct</v>
      </c>
      <c r="C305" s="82"/>
      <c r="D305" s="77"/>
    </row>
    <row r="306" spans="1:8" ht="16" thickBot="1" x14ac:dyDescent="0.4">
      <c r="B306" s="83" t="str">
        <f ca="1">[1]!complexV_E($C$301)</f>
        <v>None of the A-B-C choices are correct</v>
      </c>
      <c r="C306" s="84"/>
      <c r="D306" s="78"/>
    </row>
    <row r="307" spans="1:8" ht="16" thickTop="1" x14ac:dyDescent="0.35"/>
    <row r="309" spans="1:8" x14ac:dyDescent="0.35">
      <c r="A309" s="88" t="s">
        <v>168</v>
      </c>
    </row>
    <row r="310" spans="1:8" x14ac:dyDescent="0.35">
      <c r="A310" s="29">
        <f ca="1">RANDBETWEEN(40,100)/1000</f>
        <v>8.1000000000000003E-2</v>
      </c>
      <c r="B310" s="2" t="s">
        <v>2293</v>
      </c>
      <c r="C310" s="13">
        <f ca="1">A310*1000/2</f>
        <v>40.5</v>
      </c>
      <c r="D310" s="2">
        <f ca="1">sign4</f>
        <v>1</v>
      </c>
      <c r="F310" s="29">
        <f ca="1">A313+D310*A315/10000</f>
        <v>0.10868539053970551</v>
      </c>
      <c r="G310" s="2" t="s">
        <v>1720</v>
      </c>
    </row>
    <row r="311" spans="1:8" x14ac:dyDescent="0.35">
      <c r="A311" s="33">
        <f ca="1">10*IF((RANDBETWEEN(0,1))=0,RANDBETWEEN(80,92),RANDBETWEEN(107,120))</f>
        <v>840</v>
      </c>
      <c r="B311" s="2" t="s">
        <v>2839</v>
      </c>
      <c r="F311" s="106">
        <f ca="1">-PV(F310/2,A312-A314,C310,1000)</f>
        <v>848.87733394537145</v>
      </c>
      <c r="G311" s="2" t="s">
        <v>1721</v>
      </c>
    </row>
    <row r="312" spans="1:8" x14ac:dyDescent="0.35">
      <c r="A312" s="2">
        <f ca="1">RANDBETWEEN(15,35)</f>
        <v>26</v>
      </c>
      <c r="B312" s="2" t="s">
        <v>2471</v>
      </c>
      <c r="F312" s="14">
        <f ca="1">IF(ABS(H312)&lt;0.04,"#RECALCULATE",H312)</f>
        <v>9.8351957876993593E-2</v>
      </c>
      <c r="G312" s="2" t="s">
        <v>378</v>
      </c>
      <c r="H312" s="29">
        <f ca="1">2*[1]!irrmixed(A311,A310*1000/2,A314-1,F311+C310,1)</f>
        <v>9.8351957876993593E-2</v>
      </c>
    </row>
    <row r="313" spans="1:8" x14ac:dyDescent="0.35">
      <c r="A313" s="29">
        <f ca="1">2*RATE(A312,C310,-A311,1000)</f>
        <v>0.1036853905397055</v>
      </c>
      <c r="B313" s="2" t="s">
        <v>3128</v>
      </c>
    </row>
    <row r="314" spans="1:8" x14ac:dyDescent="0.35">
      <c r="A314" s="2">
        <f ca="1">ROUND(A312/3,0)</f>
        <v>9</v>
      </c>
      <c r="B314" s="2" t="s">
        <v>3714</v>
      </c>
    </row>
    <row r="315" spans="1:8" x14ac:dyDescent="0.35">
      <c r="A315" s="2">
        <f ca="1">25*RANDBETWEEN(1,12)</f>
        <v>50</v>
      </c>
      <c r="B315" s="2" t="s">
        <v>169</v>
      </c>
      <c r="D315" s="2" t="str">
        <f ca="1">IF(sign4&gt;0,"increased","decreased")</f>
        <v>increased</v>
      </c>
    </row>
    <row r="317" spans="1:8" ht="16" thickBot="1" x14ac:dyDescent="0.4">
      <c r="B317" s="88" t="s">
        <v>171</v>
      </c>
      <c r="F317" s="88" t="s">
        <v>173</v>
      </c>
    </row>
    <row r="318" spans="1:8" ht="16.5" thickTop="1" thickBot="1" x14ac:dyDescent="0.4">
      <c r="B318" s="76" t="str">
        <f ca="1">[1]!std_ans($C$318)</f>
        <v>E</v>
      </c>
      <c r="C318" s="79" t="str">
        <f ca="1" xml:space="preserve"> "/\" &amp;RANDBETWEEN( 1,120) &amp; "/\" &amp;RANDBETWEEN( 1,120) &amp; "/\" &amp;0.1 &amp; "/\" &amp; F312</f>
        <v>/\46/\86/\0.1/\0.0983519578769936</v>
      </c>
      <c r="D318" s="80" t="s">
        <v>170</v>
      </c>
      <c r="F318" s="76" t="str">
        <f ca="1">[1]!alpha_ans($G$318)</f>
        <v>E</v>
      </c>
      <c r="G318" s="79" t="str">
        <f ca="1" xml:space="preserve"> "/\" &amp;RANDBETWEEN( 1,5) &amp; "/\" &amp;RANDBETWEEN( 1,120) &amp; "/\" &amp;RANDBETWEEN( 1,6) &amp; "/\" &amp;RANDBETWEEN( 1,2) &amp; "/\" &amp; F311 &amp; "/\" &amp; "Mask" &amp; "/\" &amp; "Mask" &amp; "/\" &amp; F312 &amp; "/\" &amp; "Mask"</f>
        <v>/\5/\56/\5/\1/\848.877333945371/\Mask/\Mask/\0.0983519578769936/\Mask</v>
      </c>
      <c r="H318" s="80" t="s">
        <v>172</v>
      </c>
    </row>
    <row r="319" spans="1:8" ht="16" thickTop="1" x14ac:dyDescent="0.35">
      <c r="B319" s="92">
        <f ca="1">[1]!stdnum_A($C$318)</f>
        <v>8.9410870797266909E-2</v>
      </c>
      <c r="C319" s="82"/>
      <c r="D319" s="77"/>
      <c r="F319" s="101">
        <f ca="1">[1]!onepair_A($G$318)</f>
        <v>641.87322037457204</v>
      </c>
      <c r="G319" s="242">
        <f ca="1">IF(ABS([1]!onepair_A2($G$318))&lt;0.04,"#RECALCULATE",[1]!onepair_A2($G$318))</f>
        <v>8.5523441632168407E-2</v>
      </c>
      <c r="H319" s="77"/>
    </row>
    <row r="320" spans="1:8" x14ac:dyDescent="0.35">
      <c r="B320" s="92">
        <f ca="1">[1]!stdnum_B($C$318)</f>
        <v>8.1282609815697182E-2</v>
      </c>
      <c r="C320" s="82"/>
      <c r="D320" s="77"/>
      <c r="F320" s="101">
        <f ca="1">[1]!onepair_B($G$318)</f>
        <v>641.87322037457204</v>
      </c>
      <c r="G320" s="242">
        <f ca="1">IF(ABS([1]!onepair_B2($G$318))&lt;0.04,"#RECALCULATE",[1]!onepair_B2($G$318))</f>
        <v>9.8351957876993606E-2</v>
      </c>
      <c r="H320" s="77"/>
    </row>
    <row r="321" spans="1:8" x14ac:dyDescent="0.35">
      <c r="B321" s="92">
        <f ca="1">[1]!stdnum_C($C$318)</f>
        <v>7.3893281650633788E-2</v>
      </c>
      <c r="C321" s="82"/>
      <c r="D321" s="77"/>
      <c r="F321" s="101">
        <f ca="1">[1]!onepair_C($G$318)</f>
        <v>848.87733394537099</v>
      </c>
      <c r="G321" s="242">
        <f ca="1">IF(ABS([1]!onepair_C2($G$318))&lt;0.04,"#RECALCULATE",[1]!onepair_C2($G$318))</f>
        <v>8.5523441632168407E-2</v>
      </c>
      <c r="H321" s="77"/>
    </row>
    <row r="322" spans="1:8" x14ac:dyDescent="0.35">
      <c r="B322" s="92">
        <f ca="1">[1]!stdnum_D($C$318)</f>
        <v>0.10818715366469298</v>
      </c>
      <c r="C322" s="82"/>
      <c r="D322" s="77"/>
      <c r="F322" s="101">
        <f ca="1">[1]!onepair_D($G$318)</f>
        <v>738.15420343075698</v>
      </c>
      <c r="G322" s="242">
        <f ca="1">IF(ABS([1]!onepair_D2($G$318))&lt;0.04,"#RECALCULATE",[1]!onepair_D2($G$318))</f>
        <v>8.5523441632168407E-2</v>
      </c>
      <c r="H322" s="77"/>
    </row>
    <row r="323" spans="1:8" ht="16" thickBot="1" x14ac:dyDescent="0.4">
      <c r="B323" s="93">
        <f ca="1">[1]!stdnum_E($C$318)</f>
        <v>9.8351957876993606E-2</v>
      </c>
      <c r="C323" s="84"/>
      <c r="D323" s="78"/>
      <c r="F323" s="102">
        <f ca="1">[1]!onepair_E($G$318)</f>
        <v>848.87733394537099</v>
      </c>
      <c r="G323" s="242">
        <f ca="1">IF(ABS([1]!onepair_E2($G$318))&lt;0.04,"#RECALCULATE",[1]!onepair_E2($G$318))</f>
        <v>9.8351957876993606E-2</v>
      </c>
      <c r="H323" s="78"/>
    </row>
    <row r="324" spans="1:8" ht="16" thickTop="1" x14ac:dyDescent="0.35"/>
    <row r="326" spans="1:8" x14ac:dyDescent="0.35">
      <c r="A326" s="88" t="s">
        <v>3365</v>
      </c>
    </row>
    <row r="327" spans="1:8" x14ac:dyDescent="0.35">
      <c r="A327" s="29">
        <f ca="1">RANDBETWEEN(40,100)/1000</f>
        <v>8.2000000000000003E-2</v>
      </c>
      <c r="B327" s="2" t="s">
        <v>2293</v>
      </c>
      <c r="C327" s="13">
        <f ca="1">A327*1000/2</f>
        <v>41</v>
      </c>
      <c r="F327" s="33">
        <f ca="1">A328-2*C327</f>
        <v>1038</v>
      </c>
      <c r="G327" s="2" t="s">
        <v>3512</v>
      </c>
    </row>
    <row r="328" spans="1:8" x14ac:dyDescent="0.35">
      <c r="A328" s="33">
        <f ca="1">10*IF((RANDBETWEEN(0,1))=0,RANDBETWEEN(80,92),RANDBETWEEN(107,120))</f>
        <v>1120</v>
      </c>
      <c r="B328" s="2" t="s">
        <v>2839</v>
      </c>
      <c r="F328" s="2">
        <f ca="1">A329-2</f>
        <v>13</v>
      </c>
      <c r="G328" s="2" t="s">
        <v>715</v>
      </c>
    </row>
    <row r="329" spans="1:8" x14ac:dyDescent="0.35">
      <c r="A329" s="2">
        <f ca="1">RANDBETWEEN(15,35)</f>
        <v>15</v>
      </c>
      <c r="B329" s="2" t="s">
        <v>2471</v>
      </c>
      <c r="F329" s="29">
        <f ca="1">2*RATE(F328,C327,-F327,1000)</f>
        <v>7.4517958927885722E-2</v>
      </c>
      <c r="G329" s="2" t="s">
        <v>3366</v>
      </c>
    </row>
    <row r="330" spans="1:8" x14ac:dyDescent="0.35">
      <c r="A330" s="29">
        <f ca="1">2*RATE(A329,C327,-A328,1000)</f>
        <v>6.1767307267825908E-2</v>
      </c>
      <c r="B330" s="2" t="s">
        <v>3128</v>
      </c>
      <c r="F330" s="3">
        <f ca="1">(F329-A330)*10000</f>
        <v>127.50651660059815</v>
      </c>
      <c r="G330" s="2" t="s">
        <v>845</v>
      </c>
      <c r="H330" s="2" t="s">
        <v>842</v>
      </c>
    </row>
    <row r="332" spans="1:8" ht="16" thickBot="1" x14ac:dyDescent="0.4">
      <c r="B332" s="88" t="s">
        <v>840</v>
      </c>
      <c r="F332" s="88" t="s">
        <v>843</v>
      </c>
    </row>
    <row r="333" spans="1:8" ht="16.5" thickTop="1" thickBot="1" x14ac:dyDescent="0.4">
      <c r="B333" s="76" t="str">
        <f ca="1">[1]!std_ans($C$333)</f>
        <v>D</v>
      </c>
      <c r="C333" s="79" t="str">
        <f ca="1" xml:space="preserve"> "/\" &amp;RANDBETWEEN( 1,120) &amp; "/\" &amp;RANDBETWEEN( 1,120) &amp; "/\" &amp;0.1 &amp; "/\" &amp; F329</f>
        <v>/\93/\68/\0.1/\0.0745179589278857</v>
      </c>
      <c r="D333" s="80" t="s">
        <v>841</v>
      </c>
      <c r="F333" s="76" t="str">
        <f ca="1">[1]!alpha_ans($G$333)</f>
        <v>A</v>
      </c>
      <c r="G333" s="79" t="str">
        <f ca="1" xml:space="preserve"> "/\" &amp;RANDBETWEEN( 1,5) &amp; "/\" &amp;RANDBETWEEN( 1,120) &amp; "/\" &amp;RANDBETWEEN( 1,6) &amp; "/\" &amp;RANDBETWEEN( 1,2) &amp; "/\" &amp; F330 &amp; "/\" &amp; "Mask" &amp; "/\" &amp; "Mask" &amp; "/\" &amp; G330 &amp; "/\" &amp; H330</f>
        <v>/\1/\53/\2/\1/\127.506516600598/\Mask/\Mask/\increases/\decreases</v>
      </c>
      <c r="H333" s="80" t="s">
        <v>844</v>
      </c>
    </row>
    <row r="334" spans="1:8" ht="16" thickTop="1" x14ac:dyDescent="0.35">
      <c r="B334" s="108">
        <f ca="1">[1]!stdnum_A($C$333)</f>
        <v>8.196975482067427E-2</v>
      </c>
      <c r="C334" s="82"/>
      <c r="D334" s="77"/>
      <c r="F334" s="74">
        <f ca="1">[1]!onepair_A($G$333)</f>
        <v>127.506516600598</v>
      </c>
      <c r="G334" s="82" t="str">
        <f ca="1">[1]!onepair_A2($G$333)</f>
        <v>increases</v>
      </c>
      <c r="H334" s="77"/>
    </row>
    <row r="335" spans="1:8" x14ac:dyDescent="0.35">
      <c r="B335" s="108">
        <f ca="1">[1]!stdnum_B($C$333)</f>
        <v>6.7743599025350626E-2</v>
      </c>
      <c r="C335" s="82"/>
      <c r="D335" s="77"/>
      <c r="F335" s="74">
        <f ca="1">[1]!onepair_B($G$333)</f>
        <v>127.506516600598</v>
      </c>
      <c r="G335" s="82" t="str">
        <f ca="1">[1]!onepair_B2($G$333)</f>
        <v>decreases</v>
      </c>
      <c r="H335" s="77"/>
    </row>
    <row r="336" spans="1:8" x14ac:dyDescent="0.35">
      <c r="B336" s="108">
        <f ca="1">[1]!stdnum_C($C$333)</f>
        <v>9.0166730302741707E-2</v>
      </c>
      <c r="C336" s="82"/>
      <c r="D336" s="77"/>
      <c r="F336" s="74">
        <f ca="1">[1]!onepair_C($G$333)</f>
        <v>146.632494090688</v>
      </c>
      <c r="G336" s="82" t="str">
        <f ca="1">[1]!onepair_C2($G$333)</f>
        <v>decreases</v>
      </c>
      <c r="H336" s="77"/>
    </row>
    <row r="337" spans="1:12" x14ac:dyDescent="0.35">
      <c r="B337" s="108">
        <f ca="1">[1]!stdnum_D($C$333)</f>
        <v>7.4517958927885694E-2</v>
      </c>
      <c r="C337" s="82"/>
      <c r="D337" s="77"/>
      <c r="F337" s="74">
        <f ca="1">[1]!onepair_D($G$333)</f>
        <v>168.627368204291</v>
      </c>
      <c r="G337" s="82" t="str">
        <f ca="1">[1]!onepair_D2($G$333)</f>
        <v>increases</v>
      </c>
      <c r="H337" s="77"/>
    </row>
    <row r="338" spans="1:12" ht="16" thickBot="1" x14ac:dyDescent="0.4">
      <c r="B338" s="109">
        <f ca="1">[1]!stdnum_E($C$333)</f>
        <v>6.1585090023046019E-2</v>
      </c>
      <c r="C338" s="84"/>
      <c r="D338" s="78"/>
      <c r="F338" s="75">
        <f ca="1">[1]!onepair_E($G$333)</f>
        <v>146.632494090688</v>
      </c>
      <c r="G338" s="84" t="str">
        <f ca="1">[1]!onepair_E2($G$333)</f>
        <v>increases</v>
      </c>
      <c r="H338" s="78"/>
    </row>
    <row r="339" spans="1:12" ht="16" thickTop="1" x14ac:dyDescent="0.35"/>
    <row r="341" spans="1:12" x14ac:dyDescent="0.35">
      <c r="A341" s="88" t="s">
        <v>3763</v>
      </c>
    </row>
    <row r="342" spans="1:12" x14ac:dyDescent="0.35">
      <c r="A342" s="29">
        <f ca="1">RANDBETWEEN(40,100)/1000</f>
        <v>4.1000000000000002E-2</v>
      </c>
      <c r="B342" s="2" t="s">
        <v>2293</v>
      </c>
      <c r="C342" s="13">
        <f ca="1">A342*1000/2</f>
        <v>20.5</v>
      </c>
      <c r="D342" s="2">
        <f ca="1">sign2</f>
        <v>1</v>
      </c>
      <c r="F342" s="29">
        <f ca="1">A345+D342*A346/10000</f>
        <v>6.6000000000000003E-2</v>
      </c>
      <c r="G342" s="2" t="s">
        <v>1720</v>
      </c>
    </row>
    <row r="343" spans="1:12" x14ac:dyDescent="0.35">
      <c r="A343" s="33">
        <v>1000</v>
      </c>
      <c r="B343" s="2" t="s">
        <v>3764</v>
      </c>
      <c r="F343" s="106">
        <f ca="1">-PV(F342/2,A344,C342,1000)</f>
        <v>724.57943070625777</v>
      </c>
      <c r="G343" s="2" t="s">
        <v>1721</v>
      </c>
    </row>
    <row r="344" spans="1:12" x14ac:dyDescent="0.35">
      <c r="A344" s="2">
        <f ca="1">2*C344</f>
        <v>40</v>
      </c>
      <c r="B344" s="2" t="s">
        <v>2471</v>
      </c>
      <c r="C344" s="2">
        <f ca="1">CHOOSE(RANDBETWEEN(1,3),10,20,30)</f>
        <v>20</v>
      </c>
      <c r="F344" s="14">
        <f ca="1">F343/A343-1</f>
        <v>-0.27542056929374226</v>
      </c>
      <c r="G344" s="2" t="s">
        <v>558</v>
      </c>
      <c r="H344" s="29"/>
    </row>
    <row r="345" spans="1:12" x14ac:dyDescent="0.35">
      <c r="A345" s="29">
        <f ca="1">2*RATE(A344,C342,-A343,1000)</f>
        <v>4.1000000000000002E-2</v>
      </c>
      <c r="B345" s="2" t="s">
        <v>3128</v>
      </c>
      <c r="F345" s="106">
        <f ca="1">ABS(F343-A343)</f>
        <v>275.42056929374223</v>
      </c>
      <c r="G345" s="2" t="s">
        <v>65</v>
      </c>
    </row>
    <row r="346" spans="1:12" x14ac:dyDescent="0.35">
      <c r="A346" s="2">
        <f ca="1">25*RANDBETWEEN(1,12)</f>
        <v>250</v>
      </c>
      <c r="B346" s="2" t="s">
        <v>169</v>
      </c>
      <c r="D346" s="2" t="str">
        <f ca="1">IF(sign2&gt;0,"increase","decline")</f>
        <v>increase</v>
      </c>
      <c r="F346" s="4" t="str">
        <f ca="1">IF(F343&gt;A343,"rises","falls")</f>
        <v>falls</v>
      </c>
      <c r="G346" s="2" t="s">
        <v>66</v>
      </c>
      <c r="I346" s="4" t="str">
        <f>IF(I343&lt;D343,"rises","falls")</f>
        <v>falls</v>
      </c>
    </row>
    <row r="347" spans="1:12" ht="16" thickBot="1" x14ac:dyDescent="0.4">
      <c r="B347" s="88" t="s">
        <v>559</v>
      </c>
      <c r="F347" s="88" t="s">
        <v>561</v>
      </c>
      <c r="J347" s="88" t="s">
        <v>68</v>
      </c>
    </row>
    <row r="348" spans="1:12" ht="16.5" thickTop="1" thickBot="1" x14ac:dyDescent="0.4">
      <c r="B348" s="76" t="str">
        <f ca="1">[1]!std_ans($C$348)</f>
        <v>B</v>
      </c>
      <c r="C348" s="79" t="str">
        <f ca="1" xml:space="preserve"> "/\" &amp;RANDBETWEEN( 1,120) &amp; "/\" &amp;RANDBETWEEN( 1,120) &amp; "/\" &amp;0.1 &amp; "/\" &amp; F343</f>
        <v>/\74/\80/\0.1/\724.579430706258</v>
      </c>
      <c r="D348" s="80" t="s">
        <v>557</v>
      </c>
      <c r="F348" s="76" t="str">
        <f ca="1">[1]!std_ans($G$348)</f>
        <v>B</v>
      </c>
      <c r="G348" s="79" t="str">
        <f ca="1" xml:space="preserve"> "/\" &amp;RANDBETWEEN( 1,120) &amp; "/\" &amp;RANDBETWEEN( 1,120) &amp; "/\" &amp;0.1 &amp; "/\" &amp; F344</f>
        <v>/\99/\46/\0.1/\-0.275420569293742</v>
      </c>
      <c r="H348" s="80" t="s">
        <v>560</v>
      </c>
      <c r="J348" s="76" t="str">
        <f ca="1">[1]!alpha_ans($K$348)</f>
        <v>A</v>
      </c>
      <c r="K348" s="79" t="str">
        <f ca="1" xml:space="preserve"> "/\" &amp;RANDBETWEEN( 1,5) &amp; "/\" &amp;RANDBETWEEN( 1,120) &amp; "/\" &amp;RANDBETWEEN( 1,6) &amp; "/\" &amp;RANDBETWEEN( 1,2) &amp; "/\" &amp; F345 &amp; "/\" &amp; "Mask" &amp; "/\" &amp; "Mask" &amp; "/\" &amp; F346 &amp; "/\" &amp; I346</f>
        <v>/\1/\16/\2/\1/\275.420569293742/\Mask/\Mask/\falls/\falls</v>
      </c>
      <c r="L348" s="80" t="s">
        <v>67</v>
      </c>
    </row>
    <row r="349" spans="1:12" ht="16" thickTop="1" x14ac:dyDescent="0.35">
      <c r="B349" s="89">
        <f ca="1">[1]!stdnum_A($C$348)</f>
        <v>797.0373737768839</v>
      </c>
      <c r="C349" s="82"/>
      <c r="D349" s="77"/>
      <c r="F349" s="92">
        <f ca="1">[1]!stdnum_A($G$348)</f>
        <v>-0.25038233572158358</v>
      </c>
      <c r="G349" s="82"/>
      <c r="H349" s="77"/>
      <c r="J349" s="101">
        <f ca="1">[1]!onepair_A($K$348)</f>
        <v>275.42056929374201</v>
      </c>
      <c r="K349" s="82" t="str">
        <f ca="1">[1]!onepair_A2($K$348)</f>
        <v>falls</v>
      </c>
      <c r="L349" s="77"/>
    </row>
    <row r="350" spans="1:12" x14ac:dyDescent="0.35">
      <c r="B350" s="89">
        <f ca="1">[1]!stdnum_B($C$348)</f>
        <v>724.57943070625799</v>
      </c>
      <c r="C350" s="82"/>
      <c r="D350" s="77"/>
      <c r="F350" s="92">
        <f ca="1">[1]!stdnum_B($G$348)</f>
        <v>-0.27542056929374198</v>
      </c>
      <c r="G350" s="82"/>
      <c r="H350" s="77"/>
      <c r="J350" s="101">
        <f ca="1">[1]!onepair_B($K$348)</f>
        <v>316.73365468780298</v>
      </c>
      <c r="K350" s="82" t="str">
        <f ca="1">[1]!onepair_B2($K$348)</f>
        <v>falls</v>
      </c>
      <c r="L350" s="77"/>
    </row>
    <row r="351" spans="1:12" x14ac:dyDescent="0.35">
      <c r="B351" s="89">
        <f ca="1">[1]!stdnum_C($C$348)</f>
        <v>598.82597579029584</v>
      </c>
      <c r="C351" s="82"/>
      <c r="D351" s="77"/>
      <c r="F351" s="92">
        <f ca="1">[1]!stdnum_C($G$348)</f>
        <v>-0.3029626262231162</v>
      </c>
      <c r="G351" s="82"/>
      <c r="H351" s="77"/>
      <c r="J351" s="101">
        <f ca="1">[1]!onepair_C($K$348)</f>
        <v>364.24370289097402</v>
      </c>
      <c r="K351" s="82" t="str">
        <f ca="1">[1]!onepair_C2($K$348)</f>
        <v>falls</v>
      </c>
      <c r="L351" s="77"/>
    </row>
    <row r="352" spans="1:12" x14ac:dyDescent="0.35">
      <c r="B352" s="89">
        <f ca="1">[1]!stdnum_D($C$348)</f>
        <v>658.70857336932545</v>
      </c>
      <c r="C352" s="82"/>
      <c r="D352" s="77"/>
      <c r="F352" s="92">
        <f ca="1">[1]!stdnum_D($G$348)</f>
        <v>-0.36658477772997067</v>
      </c>
      <c r="G352" s="82"/>
      <c r="H352" s="77"/>
      <c r="J352" s="101">
        <f ca="1">[1]!onepair_D($K$348)</f>
        <v>316.73365468780298</v>
      </c>
      <c r="K352" s="82" t="str">
        <f ca="1">[1]!onepair_D2($K$348)</f>
        <v>falls</v>
      </c>
      <c r="L352" s="77"/>
    </row>
    <row r="353" spans="2:12" ht="16" thickBot="1" x14ac:dyDescent="0.4">
      <c r="B353" s="90">
        <f ca="1">[1]!stdnum_E($C$348)</f>
        <v>544.38725071845067</v>
      </c>
      <c r="C353" s="84"/>
      <c r="D353" s="78"/>
      <c r="F353" s="93">
        <f ca="1">[1]!stdnum_E($G$348)</f>
        <v>-0.33325888884542787</v>
      </c>
      <c r="G353" s="84"/>
      <c r="H353" s="78"/>
      <c r="J353" s="102">
        <f ca="1">[1]!onepair_E($K$348)</f>
        <v>364.24370289097402</v>
      </c>
      <c r="K353" s="84" t="str">
        <f ca="1">[1]!onepair_E2($K$348)</f>
        <v>falls</v>
      </c>
      <c r="L353" s="78"/>
    </row>
    <row r="354" spans="2:12" ht="16" thickTop="1" x14ac:dyDescent="0.35"/>
  </sheetData>
  <mergeCells count="1">
    <mergeCell ref="A71:B71"/>
  </mergeCells>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4"/>
  <dimension ref="A10:R531"/>
  <sheetViews>
    <sheetView workbookViewId="0"/>
  </sheetViews>
  <sheetFormatPr defaultColWidth="10.58203125" defaultRowHeight="15.5" x14ac:dyDescent="0.35"/>
  <cols>
    <col min="1" max="16384" width="10.58203125" style="2"/>
  </cols>
  <sheetData>
    <row r="10" spans="1:7" x14ac:dyDescent="0.35">
      <c r="A10" s="88" t="s">
        <v>1735</v>
      </c>
    </row>
    <row r="11" spans="1:7" x14ac:dyDescent="0.35">
      <c r="A11" s="26">
        <f ca="1">25*RANDBETWEEN(8,20)/100</f>
        <v>3</v>
      </c>
      <c r="B11" s="2" t="s">
        <v>2838</v>
      </c>
      <c r="F11" s="14">
        <f ca="1">RANDBETWEEN(70,110)/1000</f>
        <v>0.105</v>
      </c>
      <c r="G11" s="2" t="s">
        <v>2840</v>
      </c>
    </row>
    <row r="12" spans="1:7" x14ac:dyDescent="0.35">
      <c r="A12" s="26">
        <f ca="1">ROUND(A11/F11,1)</f>
        <v>28.6</v>
      </c>
      <c r="B12" s="2" t="s">
        <v>2839</v>
      </c>
      <c r="F12" s="9">
        <f ca="1">RANDBETWEEN(25,50)/1000+A13/10000</f>
        <v>6.3E-2</v>
      </c>
      <c r="G12" s="2" t="s">
        <v>1559</v>
      </c>
    </row>
    <row r="13" spans="1:7" x14ac:dyDescent="0.35">
      <c r="A13" s="4">
        <f ca="1">ROUND((F11-RANDBETWEEN(25,50)/1000)/2,3)*10000</f>
        <v>350.00000000000006</v>
      </c>
      <c r="B13" s="2" t="s">
        <v>1558</v>
      </c>
      <c r="F13" s="27">
        <f ca="1">A11/F12</f>
        <v>47.61904761904762</v>
      </c>
      <c r="G13" s="2" t="s">
        <v>1560</v>
      </c>
    </row>
    <row r="14" spans="1:7" x14ac:dyDescent="0.35">
      <c r="F14" s="15">
        <f ca="1">RATE(2,A11,-A12,F13)</f>
        <v>0.38385564753129076</v>
      </c>
      <c r="G14" s="2" t="s">
        <v>1561</v>
      </c>
    </row>
    <row r="15" spans="1:7" ht="16" thickBot="1" x14ac:dyDescent="0.4"/>
    <row r="16" spans="1:7" ht="16.5" thickTop="1" thickBot="1" x14ac:dyDescent="0.4">
      <c r="B16" s="76" t="str">
        <f ca="1">[1]!std_ans($C$16)</f>
        <v>E</v>
      </c>
      <c r="C16" s="79" t="str">
        <f ca="1" xml:space="preserve"> "/\" &amp;RANDBETWEEN( 1,120) &amp; "/\" &amp;RANDBETWEEN( 1,120) &amp; "/\" &amp;0.1 &amp; "/\" &amp; F14</f>
        <v>/\58/\42/\0.1/\0.383855647531291</v>
      </c>
      <c r="D16" s="80" t="s">
        <v>1562</v>
      </c>
    </row>
    <row r="17" spans="1:7" ht="16" thickTop="1" x14ac:dyDescent="0.35">
      <c r="B17" s="92">
        <f ca="1">[1]!stdnum_A($C$16)</f>
        <v>0.51091186686414847</v>
      </c>
      <c r="C17" s="82"/>
      <c r="D17" s="77"/>
    </row>
    <row r="18" spans="1:7" x14ac:dyDescent="0.35">
      <c r="B18" s="92">
        <f ca="1">[1]!stdnum_B($C$16)</f>
        <v>0.46446533351286218</v>
      </c>
      <c r="C18" s="82"/>
      <c r="D18" s="77"/>
    </row>
    <row r="19" spans="1:7" x14ac:dyDescent="0.35">
      <c r="B19" s="92">
        <f ca="1">[1]!stdnum_C($C$16)</f>
        <v>0.42224121228442013</v>
      </c>
      <c r="C19" s="82"/>
      <c r="D19" s="77"/>
    </row>
    <row r="20" spans="1:7" x14ac:dyDescent="0.35">
      <c r="B20" s="92">
        <f ca="1">[1]!stdnum_D($C$16)</f>
        <v>0.34895967957390089</v>
      </c>
      <c r="C20" s="82"/>
      <c r="D20" s="77"/>
    </row>
    <row r="21" spans="1:7" ht="16" thickBot="1" x14ac:dyDescent="0.4">
      <c r="B21" s="93">
        <f ca="1">[1]!stdnum_E($C$16)</f>
        <v>0.38385564753129098</v>
      </c>
      <c r="C21" s="84"/>
      <c r="D21" s="78"/>
    </row>
    <row r="22" spans="1:7" ht="16" thickTop="1" x14ac:dyDescent="0.35"/>
    <row r="24" spans="1:7" x14ac:dyDescent="0.35">
      <c r="A24" s="88" t="s">
        <v>1740</v>
      </c>
    </row>
    <row r="25" spans="1:7" x14ac:dyDescent="0.35">
      <c r="A25" s="26">
        <f ca="1">25*RANDBETWEEN(8,20)/100</f>
        <v>4.75</v>
      </c>
      <c r="B25" s="2" t="s">
        <v>3245</v>
      </c>
      <c r="E25" s="26">
        <f ca="1">ROUND(A25*(1+A26),2)</f>
        <v>5.17</v>
      </c>
      <c r="F25" s="2" t="s">
        <v>3246</v>
      </c>
    </row>
    <row r="26" spans="1:7" x14ac:dyDescent="0.35">
      <c r="A26" s="7">
        <f ca="1">RANDBETWEEN(55,105)/1000</f>
        <v>8.8999999999999996E-2</v>
      </c>
      <c r="B26" s="2" t="s">
        <v>1684</v>
      </c>
      <c r="E26" s="26">
        <f ca="1">A25*(1+A26)^2/(A29-A26)</f>
        <v>58.678382812500004</v>
      </c>
      <c r="F26" s="2" t="s">
        <v>387</v>
      </c>
    </row>
    <row r="27" spans="1:7" x14ac:dyDescent="0.35">
      <c r="A27" s="94">
        <f ca="1">ROUND(G27/(A25/A28),1)</f>
        <v>14.2</v>
      </c>
      <c r="B27" s="2" t="s">
        <v>1685</v>
      </c>
      <c r="E27" s="27">
        <f ca="1">A27*A25/A28</f>
        <v>74.944444444444443</v>
      </c>
      <c r="F27" s="2" t="s">
        <v>388</v>
      </c>
      <c r="G27" s="27">
        <f ca="1">ROUND(E26*CHOOSE(RANDBETWEEN(1,2),(1+RANDBETWEEN(26,35)/100)^(IF(RANDBETWEEN(0,1)=0,1,-1)),(1+RANDBETWEEN(16,25)/100)^(IF(RANDBETWEEN(0,1)=0,1,-1))),1)</f>
        <v>75.099999999999994</v>
      </c>
    </row>
    <row r="28" spans="1:7" x14ac:dyDescent="0.35">
      <c r="A28" s="23">
        <f ca="1">RANDBETWEEN(6,18)*5/100</f>
        <v>0.9</v>
      </c>
      <c r="B28" s="2" t="s">
        <v>3243</v>
      </c>
      <c r="E28" s="7">
        <f ca="1">(E26+E25)/E27-1</f>
        <v>-0.14805716039659</v>
      </c>
      <c r="F28" s="2" t="s">
        <v>378</v>
      </c>
    </row>
    <row r="29" spans="1:7" x14ac:dyDescent="0.35">
      <c r="A29" s="7">
        <f ca="1">A26+RANDBETWEEN(50,100)/1000</f>
        <v>0.185</v>
      </c>
      <c r="B29" s="2" t="s">
        <v>3244</v>
      </c>
    </row>
    <row r="30" spans="1:7" ht="16" thickBot="1" x14ac:dyDescent="0.4"/>
    <row r="31" spans="1:7" ht="16.5" thickTop="1" thickBot="1" x14ac:dyDescent="0.4">
      <c r="B31" s="76" t="str">
        <f ca="1">[1]!std_ans($C$31)</f>
        <v>A</v>
      </c>
      <c r="C31" s="79" t="str">
        <f ca="1" xml:space="preserve"> "/\" &amp;RANDBETWEEN( 1,120) &amp; "/\" &amp;RANDBETWEEN( 1,120) &amp; "/\" &amp;0.1 &amp; "/\" &amp; E28</f>
        <v>/\4/\66/\0.1/\-0.14805716039659</v>
      </c>
      <c r="D31" s="80" t="s">
        <v>389</v>
      </c>
    </row>
    <row r="32" spans="1:7" ht="16" thickTop="1" x14ac:dyDescent="0.35">
      <c r="B32" s="92">
        <f ca="1">[1]!stdnum_A($C$31)</f>
        <v>-0.14805716039659</v>
      </c>
      <c r="C32" s="82"/>
      <c r="D32" s="77"/>
    </row>
    <row r="33" spans="1:7" x14ac:dyDescent="0.35">
      <c r="B33" s="92">
        <f ca="1">[1]!stdnum_B($C$31)</f>
        <v>-0.16286287643624903</v>
      </c>
      <c r="C33" s="82"/>
      <c r="D33" s="77"/>
    </row>
    <row r="34" spans="1:7" x14ac:dyDescent="0.35">
      <c r="B34" s="92">
        <f ca="1">[1]!stdnum_C($C$31)</f>
        <v>-0.13459741854235455</v>
      </c>
      <c r="C34" s="82"/>
      <c r="D34" s="77"/>
    </row>
    <row r="35" spans="1:7" x14ac:dyDescent="0.35">
      <c r="B35" s="92">
        <f ca="1">[1]!stdnum_D($C$31)</f>
        <v>-0.12236128958395867</v>
      </c>
      <c r="C35" s="82"/>
      <c r="D35" s="77"/>
    </row>
    <row r="36" spans="1:7" ht="16" thickBot="1" x14ac:dyDescent="0.4">
      <c r="B36" s="93">
        <f ca="1">[1]!stdnum_E($C$31)</f>
        <v>-0.17914916407987394</v>
      </c>
      <c r="C36" s="84"/>
      <c r="D36" s="78"/>
    </row>
    <row r="37" spans="1:7" ht="16" thickTop="1" x14ac:dyDescent="0.35"/>
    <row r="39" spans="1:7" x14ac:dyDescent="0.35">
      <c r="A39" s="88" t="s">
        <v>1739</v>
      </c>
    </row>
    <row r="40" spans="1:7" x14ac:dyDescent="0.35">
      <c r="A40" s="26">
        <f ca="1">25*RANDBETWEEN(8,20)/100</f>
        <v>3.5</v>
      </c>
      <c r="B40" s="2" t="s">
        <v>3245</v>
      </c>
      <c r="F40" s="7">
        <f ca="1">RANDBETWEEN(15,70)/1000</f>
        <v>5.2999999999999999E-2</v>
      </c>
      <c r="G40" s="2" t="s">
        <v>2675</v>
      </c>
    </row>
    <row r="41" spans="1:7" x14ac:dyDescent="0.35">
      <c r="A41" s="7">
        <f ca="1">RANDBETWEEN(55,135)/1000</f>
        <v>6.5000000000000002E-2</v>
      </c>
      <c r="B41" s="2" t="s">
        <v>1684</v>
      </c>
      <c r="F41" s="7">
        <f ca="1">A41+A40*(1+A41)/A42</f>
        <v>0.12147727272727274</v>
      </c>
      <c r="G41" s="2" t="s">
        <v>2676</v>
      </c>
    </row>
    <row r="42" spans="1:7" x14ac:dyDescent="0.35">
      <c r="A42" s="26">
        <f ca="1">ROUND(A40/F40,1)</f>
        <v>66</v>
      </c>
      <c r="B42" s="2" t="s">
        <v>388</v>
      </c>
    </row>
    <row r="43" spans="1:7" ht="16" thickBot="1" x14ac:dyDescent="0.4"/>
    <row r="44" spans="1:7" ht="16.5" thickTop="1" thickBot="1" x14ac:dyDescent="0.4">
      <c r="B44" s="76" t="str">
        <f ca="1">[1]!std_ans($C$44)</f>
        <v>B</v>
      </c>
      <c r="C44" s="79" t="str">
        <f ca="1" xml:space="preserve"> "/\" &amp;RANDBETWEEN( 1,120) &amp; "/\" &amp;RANDBETWEEN( 1,120) &amp; "/\" &amp;0.1 &amp; "/\" &amp; F41</f>
        <v>/\29/\31/\0.1/\0.121477272727273</v>
      </c>
      <c r="D44" s="80" t="s">
        <v>2677</v>
      </c>
    </row>
    <row r="45" spans="1:7" ht="16" thickTop="1" x14ac:dyDescent="0.35">
      <c r="B45" s="92">
        <f ca="1">[1]!stdnum_A($C$44)</f>
        <v>0.13362500000000033</v>
      </c>
      <c r="C45" s="82"/>
      <c r="D45" s="77"/>
    </row>
    <row r="46" spans="1:7" x14ac:dyDescent="0.35">
      <c r="B46" s="92">
        <f ca="1">[1]!stdnum_B($C$44)</f>
        <v>0.121477272727273</v>
      </c>
      <c r="C46" s="82"/>
      <c r="D46" s="77"/>
    </row>
    <row r="47" spans="1:7" x14ac:dyDescent="0.35">
      <c r="B47" s="92">
        <f ca="1">[1]!stdnum_C($C$44)</f>
        <v>0.16168625000000042</v>
      </c>
      <c r="C47" s="82"/>
      <c r="D47" s="77"/>
    </row>
    <row r="48" spans="1:7" x14ac:dyDescent="0.35">
      <c r="B48" s="92">
        <f ca="1">[1]!stdnum_D($C$44)</f>
        <v>0.11043388429752091</v>
      </c>
      <c r="C48" s="82"/>
      <c r="D48" s="77"/>
    </row>
    <row r="49" spans="1:9" ht="16" thickBot="1" x14ac:dyDescent="0.4">
      <c r="B49" s="93">
        <f ca="1">[1]!stdnum_E($C$44)</f>
        <v>0.14698750000000035</v>
      </c>
      <c r="C49" s="84"/>
      <c r="D49" s="78"/>
    </row>
    <row r="50" spans="1:9" ht="16" thickTop="1" x14ac:dyDescent="0.35"/>
    <row r="52" spans="1:9" x14ac:dyDescent="0.35">
      <c r="A52" s="88" t="s">
        <v>3493</v>
      </c>
    </row>
    <row r="53" spans="1:9" x14ac:dyDescent="0.35">
      <c r="A53" s="95">
        <f ca="1">RANDBETWEEN(25,70)</f>
        <v>50</v>
      </c>
      <c r="B53" s="2" t="s">
        <v>1414</v>
      </c>
      <c r="F53" s="26">
        <f ca="1">(1+RANDBETWEEN(16,25)/100)^(IF(RANDBETWEEN(0,1)=0,1,-1))*A53/A54</f>
        <v>1.3130252100840336</v>
      </c>
      <c r="G53" s="2" t="s">
        <v>1418</v>
      </c>
      <c r="I53" s="94">
        <f ca="1">A53/F53</f>
        <v>38.08</v>
      </c>
    </row>
    <row r="54" spans="1:9" x14ac:dyDescent="0.35">
      <c r="A54" s="4">
        <f ca="1">RANDBETWEEN(12,40)</f>
        <v>32</v>
      </c>
      <c r="B54" s="2" t="s">
        <v>1415</v>
      </c>
      <c r="F54" s="26">
        <f ca="1">(1+RANDBETWEEN(14,17)/100)^(IF(RANDBETWEEN(0,1)=0,1,-1))*A53/A55</f>
        <v>3.5625000000000004</v>
      </c>
      <c r="G54" s="2" t="s">
        <v>1419</v>
      </c>
      <c r="I54" s="94">
        <f ca="1">A53/F54</f>
        <v>14.035087719298243</v>
      </c>
    </row>
    <row r="55" spans="1:9" x14ac:dyDescent="0.35">
      <c r="A55" s="4">
        <f ca="1">ROUND(A54*RANDBETWEEN(4,8)/10,0)</f>
        <v>16</v>
      </c>
      <c r="B55" s="2" t="s">
        <v>1416</v>
      </c>
      <c r="F55" s="26">
        <f ca="1">(1+RANDBETWEEN(8,13)/100)^(IF(RANDBETWEEN(0,1)=0,1,-1))*A53/A56</f>
        <v>31.111111111111114</v>
      </c>
      <c r="G55" s="2" t="s">
        <v>1420</v>
      </c>
      <c r="I55" s="94">
        <f ca="1">A53/F55</f>
        <v>1.607142857142857</v>
      </c>
    </row>
    <row r="56" spans="1:9" x14ac:dyDescent="0.35">
      <c r="A56" s="4">
        <f ca="1">RANDBETWEEN(12,40)/10</f>
        <v>1.8</v>
      </c>
      <c r="B56" s="2" t="s">
        <v>1417</v>
      </c>
    </row>
    <row r="58" spans="1:9" x14ac:dyDescent="0.35">
      <c r="B58" s="2" t="s">
        <v>1422</v>
      </c>
      <c r="C58" s="2" t="str">
        <f ca="1">"comparison of price-to-earnings ratios makes the company seem relatively " &amp; IF(I53&gt;A54,"overvalued","undervalued")</f>
        <v>comparison of price-to-earnings ratios makes the company seem relatively overvalued</v>
      </c>
    </row>
    <row r="59" spans="1:9" x14ac:dyDescent="0.35">
      <c r="B59" s="2" t="s">
        <v>1423</v>
      </c>
      <c r="C59" s="2" t="str">
        <f ca="1">"comparison of price-to-earnings ratios makes the company seem relatively " &amp; IF(I53&lt;A54,"overvalued","undervalued")</f>
        <v>comparison of price-to-earnings ratios makes the company seem relatively undervalued</v>
      </c>
    </row>
    <row r="60" spans="1:9" x14ac:dyDescent="0.35">
      <c r="B60" s="2" t="s">
        <v>1424</v>
      </c>
      <c r="C60" s="2" t="str">
        <f ca="1">"comparison of price-to-cash flow ratios makes the company seem relatively " &amp; IF(I54&gt;A55,"overvalued","undervalued")</f>
        <v>comparison of price-to-cash flow ratios makes the company seem relatively undervalued</v>
      </c>
    </row>
    <row r="61" spans="1:9" x14ac:dyDescent="0.35">
      <c r="B61" s="2" t="s">
        <v>1425</v>
      </c>
      <c r="C61" s="2" t="str">
        <f ca="1">"comparison of price-to-cash flow ratios makes the company seem relatively " &amp; IF(I54&lt;A55,"overvalued","undervalued")</f>
        <v>comparison of price-to-cash flow ratios makes the company seem relatively overvalued</v>
      </c>
    </row>
    <row r="62" spans="1:9" x14ac:dyDescent="0.35">
      <c r="B62" s="2" t="s">
        <v>1426</v>
      </c>
      <c r="C62" s="2" t="str">
        <f ca="1">"comparison of price-to-book ratios makes the company seem relatively " &amp; IF(I55&gt;A56,"overvalued","undervalued")</f>
        <v>comparison of price-to-book ratios makes the company seem relatively undervalued</v>
      </c>
    </row>
    <row r="63" spans="1:9" x14ac:dyDescent="0.35">
      <c r="B63" s="2" t="s">
        <v>1427</v>
      </c>
      <c r="C63" s="2" t="str">
        <f ca="1">"comparison of price-to-book ratios makes the company seem relatively " &amp; IF(I55&lt;A56,"overvalued","undervalued")</f>
        <v>comparison of price-to-book ratios makes the company seem relatively overvalued</v>
      </c>
    </row>
    <row r="65" spans="1:6" ht="16" thickBot="1" x14ac:dyDescent="0.4"/>
    <row r="66" spans="1:6" ht="16.5" thickTop="1" thickBot="1" x14ac:dyDescent="0.4">
      <c r="B66" s="76" t="str">
        <f ca="1">[1]!alpha_ans($C$66)</f>
        <v>D</v>
      </c>
      <c r="C66" s="79" t="str">
        <f ca="1" xml:space="preserve"> "/\" &amp;RANDBETWEEN( 1,5) &amp; "/\" &amp;RANDBETWEEN( 1,3) &amp; "/\" &amp;RANDBETWEEN( 1,2) &amp; "/\" &amp;C58 &amp; "/\" &amp; C59 &amp; "/\" &amp; C60 &amp; "/\" &amp; C61 &amp; "/\" &amp; C62 &amp; "/\" &amp; C63</f>
        <v>/\4/\2/\1/\comparison of price-to-earnings ratios makes the company seem relatively overvalued/\comparison of price-to-earnings ratios makes the company seem relatively undervalued/\comparison of price-to-cash flow ratios makes the company seem relatively undervalued/\comparison of price-to-cash flow ratios makes the company seem relatively overvalued/\comparison of price-to-book ratios makes the company seem relatively undervalued/\comparison of price-to-book ratios makes the company seem relatively overvalued</v>
      </c>
      <c r="D66" s="80" t="s">
        <v>1428</v>
      </c>
    </row>
    <row r="67" spans="1:6" ht="16" thickTop="1" x14ac:dyDescent="0.35">
      <c r="B67" s="81" t="str">
        <f ca="1">[1]!complexV_A($C$66)</f>
        <v>comparison of price-to-earnings ratios makes the company seem relatively overvalued</v>
      </c>
      <c r="C67" s="82"/>
      <c r="D67" s="77"/>
    </row>
    <row r="68" spans="1:6" x14ac:dyDescent="0.35">
      <c r="B68" s="81" t="str">
        <f ca="1">[1]!complexV_B($C$66)</f>
        <v>comparison of price-to-cash flow ratios makes the company seem relatively overvalued</v>
      </c>
      <c r="C68" s="82"/>
      <c r="D68" s="77"/>
    </row>
    <row r="69" spans="1:6" x14ac:dyDescent="0.35">
      <c r="B69" s="81" t="str">
        <f ca="1">[1]!complexV_C($C$66)</f>
        <v>comparison of price-to-book ratios makes the company seem relatively undervalued</v>
      </c>
      <c r="C69" s="82"/>
      <c r="D69" s="77"/>
    </row>
    <row r="70" spans="1:6" x14ac:dyDescent="0.35">
      <c r="B70" s="81" t="str">
        <f ca="1">[1]!complexV_D($C$66)</f>
        <v>Two choices, A and C, are correct</v>
      </c>
      <c r="C70" s="82"/>
      <c r="D70" s="77"/>
    </row>
    <row r="71" spans="1:6" ht="16" thickBot="1" x14ac:dyDescent="0.4">
      <c r="B71" s="83" t="str">
        <f ca="1">[1]!complexV_E($C$66)</f>
        <v>The three A-B-C choices are all correct</v>
      </c>
      <c r="C71" s="84"/>
      <c r="D71" s="78"/>
    </row>
    <row r="72" spans="1:6" ht="16" thickTop="1" x14ac:dyDescent="0.35"/>
    <row r="74" spans="1:6" x14ac:dyDescent="0.35">
      <c r="A74" s="88" t="s">
        <v>1736</v>
      </c>
    </row>
    <row r="75" spans="1:6" x14ac:dyDescent="0.35">
      <c r="A75" s="26">
        <f ca="1">25*RANDBETWEEN(8,20)/100</f>
        <v>2.75</v>
      </c>
      <c r="B75" s="2" t="s">
        <v>3245</v>
      </c>
      <c r="E75" s="14">
        <f ca="1">(A77+A78)/A76-1</f>
        <v>0.15606060606060601</v>
      </c>
      <c r="F75" s="2" t="s">
        <v>605</v>
      </c>
    </row>
    <row r="76" spans="1:6" x14ac:dyDescent="0.35">
      <c r="A76" s="21">
        <f ca="1">ROUND(A75*RANDBETWEEN(20,30),0)</f>
        <v>66</v>
      </c>
      <c r="B76" s="2" t="s">
        <v>388</v>
      </c>
    </row>
    <row r="77" spans="1:6" x14ac:dyDescent="0.35">
      <c r="A77" s="26">
        <f ca="1">ROUND(A75*1.2,1)</f>
        <v>3.3</v>
      </c>
      <c r="B77" s="2" t="s">
        <v>3246</v>
      </c>
    </row>
    <row r="78" spans="1:6" x14ac:dyDescent="0.35">
      <c r="A78" s="21">
        <f ca="1">ROUND(A76*(1+RANDBETWEEN(5,20)/100),0)</f>
        <v>73</v>
      </c>
      <c r="B78" s="2" t="s">
        <v>604</v>
      </c>
    </row>
    <row r="79" spans="1:6" ht="16" thickBot="1" x14ac:dyDescent="0.4"/>
    <row r="80" spans="1:6" ht="16.5" thickTop="1" thickBot="1" x14ac:dyDescent="0.4">
      <c r="B80" s="76" t="str">
        <f ca="1">[1]!std_ans($C$80)</f>
        <v>D</v>
      </c>
      <c r="C80" s="79" t="str">
        <f ca="1" xml:space="preserve"> "/\" &amp;RANDBETWEEN( 1,120) &amp; "/\" &amp;RANDBETWEEN( 1,120) &amp; "/\" &amp;0.1 &amp; "/\" &amp; E75</f>
        <v>/\59/\17/\0.1/\0.156060606060606</v>
      </c>
      <c r="D80" s="80" t="s">
        <v>606</v>
      </c>
    </row>
    <row r="81" spans="1:6" ht="16" thickTop="1" x14ac:dyDescent="0.35">
      <c r="B81" s="92">
        <f ca="1">[1]!stdnum_A($C$80)</f>
        <v>0.22848833333333332</v>
      </c>
      <c r="C81" s="82"/>
      <c r="D81" s="77"/>
    </row>
    <row r="82" spans="1:6" x14ac:dyDescent="0.35">
      <c r="B82" s="92">
        <f ca="1">[1]!stdnum_B($C$80)</f>
        <v>0.20771666666666666</v>
      </c>
      <c r="C82" s="82"/>
      <c r="D82" s="77"/>
    </row>
    <row r="83" spans="1:6" x14ac:dyDescent="0.35">
      <c r="B83" s="92">
        <f ca="1">[1]!stdnum_C($C$80)</f>
        <v>0.1888333333333333</v>
      </c>
      <c r="C83" s="82"/>
      <c r="D83" s="77"/>
    </row>
    <row r="84" spans="1:6" x14ac:dyDescent="0.35">
      <c r="B84" s="92">
        <f ca="1">[1]!stdnum_D($C$80)</f>
        <v>0.15606060606060601</v>
      </c>
      <c r="C84" s="82"/>
      <c r="D84" s="77"/>
    </row>
    <row r="85" spans="1:6" ht="16" thickBot="1" x14ac:dyDescent="0.4">
      <c r="B85" s="93">
        <f ca="1">[1]!stdnum_E($C$80)</f>
        <v>0.17166666666666663</v>
      </c>
      <c r="C85" s="84"/>
      <c r="D85" s="78"/>
    </row>
    <row r="86" spans="1:6" ht="16" thickTop="1" x14ac:dyDescent="0.35"/>
    <row r="88" spans="1:6" x14ac:dyDescent="0.35">
      <c r="A88" s="88" t="s">
        <v>3318</v>
      </c>
    </row>
    <row r="89" spans="1:6" x14ac:dyDescent="0.35">
      <c r="A89" s="26">
        <f ca="1">RANDBETWEEN(20,40)+RANDBETWEEN(1,4)*25/100</f>
        <v>22.75</v>
      </c>
      <c r="B89" s="2" t="s">
        <v>233</v>
      </c>
      <c r="E89" s="26">
        <f ca="1">(20*A89-A90)/19</f>
        <v>22.986842105263158</v>
      </c>
      <c r="F89" s="2" t="s">
        <v>2553</v>
      </c>
    </row>
    <row r="90" spans="1:6" x14ac:dyDescent="0.35">
      <c r="A90" s="26">
        <f ca="1">MROUND(A89*(1+RANDBETWEEN(16,25)/100)^(IF(RANDBETWEEN(0,1)=0,1,-1)),0.25)</f>
        <v>18.25</v>
      </c>
      <c r="B90" s="2" t="s">
        <v>2552</v>
      </c>
    </row>
    <row r="91" spans="1:6" ht="16" thickBot="1" x14ac:dyDescent="0.4">
      <c r="A91" s="4"/>
    </row>
    <row r="92" spans="1:6" ht="16.5" thickTop="1" thickBot="1" x14ac:dyDescent="0.4">
      <c r="B92" s="76" t="str">
        <f ca="1">[1]!std_ans($C$92)</f>
        <v>B</v>
      </c>
      <c r="C92" s="79" t="str">
        <f ca="1" xml:space="preserve"> "/\" &amp;RANDBETWEEN( 1,120) &amp; "/\" &amp;RANDBETWEEN( 1,120) &amp; "/\" &amp;0.1 &amp; "/\" &amp; E89</f>
        <v>/\49/\34/\0.1/\22.9868421052632</v>
      </c>
      <c r="D92" s="80" t="s">
        <v>3319</v>
      </c>
    </row>
    <row r="93" spans="1:6" ht="16" thickTop="1" x14ac:dyDescent="0.35">
      <c r="B93" s="129">
        <f ca="1">[1]!stdnum_A($C$92)</f>
        <v>27.814078947368476</v>
      </c>
      <c r="C93" s="82"/>
      <c r="D93" s="77"/>
    </row>
    <row r="94" spans="1:6" x14ac:dyDescent="0.35">
      <c r="B94" s="129">
        <f ca="1">[1]!stdnum_B($C$92)</f>
        <v>22.9868421052632</v>
      </c>
      <c r="C94" s="82"/>
      <c r="D94" s="77"/>
    </row>
    <row r="95" spans="1:6" x14ac:dyDescent="0.35">
      <c r="B95" s="129">
        <f ca="1">[1]!stdnum_C($C$92)</f>
        <v>25.285526315789522</v>
      </c>
      <c r="C95" s="82"/>
      <c r="D95" s="77"/>
    </row>
    <row r="96" spans="1:6" x14ac:dyDescent="0.35">
      <c r="B96" s="129">
        <f ca="1">[1]!stdnum_D($C$92)</f>
        <v>30.595486842105327</v>
      </c>
      <c r="C96" s="82"/>
      <c r="D96" s="77"/>
    </row>
    <row r="97" spans="1:6" ht="16" thickBot="1" x14ac:dyDescent="0.4">
      <c r="B97" s="130">
        <f ca="1">[1]!stdnum_E($C$92)</f>
        <v>20.897129186602907</v>
      </c>
      <c r="C97" s="84"/>
      <c r="D97" s="78"/>
    </row>
    <row r="98" spans="1:6" ht="16" thickTop="1" x14ac:dyDescent="0.35"/>
    <row r="100" spans="1:6" x14ac:dyDescent="0.35">
      <c r="A100" s="88" t="s">
        <v>3320</v>
      </c>
    </row>
    <row r="101" spans="1:6" x14ac:dyDescent="0.35">
      <c r="A101" s="26">
        <f ca="1">RANDBETWEEN(20,40)+RANDBETWEEN(1,4)*25/100</f>
        <v>38.75</v>
      </c>
      <c r="B101" s="2" t="s">
        <v>2554</v>
      </c>
      <c r="E101" s="26">
        <f ca="1">(A103*A101-A102)/(A103-1)</f>
        <v>39.065789473684212</v>
      </c>
      <c r="F101" s="2" t="s">
        <v>2553</v>
      </c>
    </row>
    <row r="102" spans="1:6" x14ac:dyDescent="0.35">
      <c r="A102" s="26">
        <f ca="1">MROUND(A101*(1+RANDBETWEEN(16,25)/100)^(IF(RANDBETWEEN(0,1)=0,1,-1)),0.25)</f>
        <v>32.75</v>
      </c>
      <c r="B102" s="2" t="s">
        <v>1649</v>
      </c>
    </row>
    <row r="103" spans="1:6" x14ac:dyDescent="0.35">
      <c r="A103" s="4">
        <f ca="1">RANDBETWEEN(1,8)*5</f>
        <v>20</v>
      </c>
      <c r="B103" s="2" t="s">
        <v>2555</v>
      </c>
    </row>
    <row r="104" spans="1:6" ht="16" thickBot="1" x14ac:dyDescent="0.4"/>
    <row r="105" spans="1:6" ht="16.5" thickTop="1" thickBot="1" x14ac:dyDescent="0.4">
      <c r="B105" s="76" t="str">
        <f ca="1">[1]!std_ans($C$105)</f>
        <v>C</v>
      </c>
      <c r="C105" s="79" t="str">
        <f ca="1" xml:space="preserve"> "/\" &amp;RANDBETWEEN( 1,120) &amp; "/\" &amp;RANDBETWEEN( 1,120) &amp; "/\" &amp;0.1 &amp; "/\" &amp; E101</f>
        <v>/\43/\35/\0.1/\39.0657894736842</v>
      </c>
      <c r="D105" s="80" t="s">
        <v>1730</v>
      </c>
    </row>
    <row r="106" spans="1:6" ht="16" thickTop="1" x14ac:dyDescent="0.35">
      <c r="B106" s="129">
        <f ca="1">[1]!stdnum_A($C$105)</f>
        <v>42.972368421052622</v>
      </c>
      <c r="C106" s="82"/>
      <c r="D106" s="77"/>
    </row>
    <row r="107" spans="1:6" x14ac:dyDescent="0.35">
      <c r="B107" s="129">
        <f ca="1">[1]!stdnum_B($C$105)</f>
        <v>47.269605263157885</v>
      </c>
      <c r="C107" s="82"/>
      <c r="D107" s="77"/>
    </row>
    <row r="108" spans="1:6" x14ac:dyDescent="0.35">
      <c r="B108" s="129">
        <f ca="1">[1]!stdnum_C($C$105)</f>
        <v>39.065789473684198</v>
      </c>
      <c r="C108" s="82"/>
      <c r="D108" s="77"/>
    </row>
    <row r="109" spans="1:6" x14ac:dyDescent="0.35">
      <c r="B109" s="129">
        <f ca="1">[1]!stdnum_D($C$105)</f>
        <v>51.996565789473685</v>
      </c>
      <c r="C109" s="82"/>
      <c r="D109" s="77"/>
    </row>
    <row r="110" spans="1:6" ht="16" thickBot="1" x14ac:dyDescent="0.4">
      <c r="B110" s="130">
        <f ca="1">[1]!stdnum_E($C$105)</f>
        <v>35.514354066985632</v>
      </c>
      <c r="C110" s="84"/>
      <c r="D110" s="78"/>
    </row>
    <row r="111" spans="1:6" ht="16" thickTop="1" x14ac:dyDescent="0.35"/>
    <row r="113" spans="1:6" x14ac:dyDescent="0.35">
      <c r="A113" s="88" t="s">
        <v>1731</v>
      </c>
    </row>
    <row r="114" spans="1:6" x14ac:dyDescent="0.35">
      <c r="A114" s="26">
        <f ca="1">RANDBETWEEN(20,40)+RANDBETWEEN(1,4)*25/100</f>
        <v>30.5</v>
      </c>
      <c r="B114" s="2" t="s">
        <v>233</v>
      </c>
      <c r="E114" s="26">
        <f ca="1">(2*(20*A114-A115)-20*(2*A116-A117))/(20-2)</f>
        <v>33.527777777777779</v>
      </c>
      <c r="F114" s="2" t="s">
        <v>2766</v>
      </c>
    </row>
    <row r="115" spans="1:6" x14ac:dyDescent="0.35">
      <c r="A115" s="26">
        <f ca="1">MROUND(A114*(1+RANDBETWEEN(16,25)/100)^(IF(RANDBETWEEN(0,1)=0,1,-1)),0.25)</f>
        <v>38.25</v>
      </c>
      <c r="B115" s="2" t="s">
        <v>2552</v>
      </c>
    </row>
    <row r="116" spans="1:6" x14ac:dyDescent="0.35">
      <c r="A116" s="26">
        <f ca="1">MROUND(A114*(1+RANDBETWEEN(8,13)/100)^(IF(RANDBETWEEN(0,1)=0,1,-1)),0.25)</f>
        <v>27.25</v>
      </c>
      <c r="B116" s="2" t="s">
        <v>3796</v>
      </c>
    </row>
    <row r="117" spans="1:6" x14ac:dyDescent="0.35">
      <c r="A117" s="26">
        <f ca="1">MROUND(A116*(1+RANDBETWEEN(1,2)/100)^(IF(RANDBETWEEN(0,1)=0,1,-1)),0.25)</f>
        <v>27.5</v>
      </c>
      <c r="B117" s="2" t="s">
        <v>2765</v>
      </c>
    </row>
    <row r="118" spans="1:6" ht="16" thickBot="1" x14ac:dyDescent="0.4"/>
    <row r="119" spans="1:6" ht="16.5" thickTop="1" thickBot="1" x14ac:dyDescent="0.4">
      <c r="B119" s="76" t="str">
        <f ca="1">[1]!std_ans($C$119)</f>
        <v>B</v>
      </c>
      <c r="C119" s="79" t="str">
        <f ca="1" xml:space="preserve"> "/\" &amp;RANDBETWEEN( 1,120) &amp; "/\" &amp;RANDBETWEEN( 1,120) &amp; "/\" &amp;0.1 &amp; "/\" &amp; E114</f>
        <v>/\50/\57/\0.1/\33.5277777777778</v>
      </c>
      <c r="D119" s="80" t="s">
        <v>1732</v>
      </c>
    </row>
    <row r="120" spans="1:6" ht="16" thickTop="1" x14ac:dyDescent="0.35">
      <c r="B120" s="129">
        <f ca="1">[1]!stdnum_A($C$119)</f>
        <v>36.880555555555581</v>
      </c>
      <c r="C120" s="82"/>
      <c r="D120" s="77"/>
    </row>
    <row r="121" spans="1:6" x14ac:dyDescent="0.35">
      <c r="B121" s="129">
        <f ca="1">[1]!stdnum_B($C$119)</f>
        <v>33.5277777777778</v>
      </c>
      <c r="C121" s="82"/>
      <c r="D121" s="77"/>
    </row>
    <row r="122" spans="1:6" x14ac:dyDescent="0.35">
      <c r="B122" s="129">
        <f ca="1">[1]!stdnum_C($C$119)</f>
        <v>30.479797979798001</v>
      </c>
      <c r="C122" s="82"/>
      <c r="D122" s="77"/>
    </row>
    <row r="123" spans="1:6" x14ac:dyDescent="0.35">
      <c r="B123" s="129">
        <f ca="1">[1]!stdnum_D($C$119)</f>
        <v>40.568611111111146</v>
      </c>
      <c r="C123" s="82"/>
      <c r="D123" s="77"/>
    </row>
    <row r="124" spans="1:6" ht="16" thickBot="1" x14ac:dyDescent="0.4">
      <c r="B124" s="130">
        <f ca="1">[1]!stdnum_E($C$119)</f>
        <v>27.708907254361815</v>
      </c>
      <c r="C124" s="84"/>
      <c r="D124" s="78"/>
    </row>
    <row r="125" spans="1:6" ht="16" thickTop="1" x14ac:dyDescent="0.35"/>
    <row r="127" spans="1:6" x14ac:dyDescent="0.35">
      <c r="A127" s="120" t="s">
        <v>1733</v>
      </c>
    </row>
    <row r="128" spans="1:6" x14ac:dyDescent="0.35">
      <c r="A128" s="26">
        <f ca="1">RANDBETWEEN(20,40)+RANDBETWEEN(1,4)*25/100</f>
        <v>36</v>
      </c>
      <c r="B128" s="2" t="s">
        <v>2554</v>
      </c>
      <c r="E128" s="26">
        <f ca="1">(2*(A132*A128-A129)-A132*(2*A130-A131))/(A132-2)</f>
        <v>39.560606060606062</v>
      </c>
      <c r="F128" s="2" t="s">
        <v>2553</v>
      </c>
    </row>
    <row r="129" spans="1:4" x14ac:dyDescent="0.35">
      <c r="A129" s="26">
        <f ca="1">MROUND(A128*(1+RANDBETWEEN(16,25)/100)^(IF(RANDBETWEEN(0,1)=0,1,-1)),0.25)</f>
        <v>29.75</v>
      </c>
      <c r="B129" s="2" t="s">
        <v>1649</v>
      </c>
    </row>
    <row r="130" spans="1:4" x14ac:dyDescent="0.35">
      <c r="A130" s="26">
        <f ca="1">MROUND(A128*(1+RANDBETWEEN(8,13)/100)^(IF(RANDBETWEEN(0,1)=0,1,-1)),0.25)</f>
        <v>32.25</v>
      </c>
      <c r="B130" s="2" t="s">
        <v>3796</v>
      </c>
    </row>
    <row r="131" spans="1:4" x14ac:dyDescent="0.35">
      <c r="A131" s="26">
        <f ca="1">MROUND(A130*(1+RANDBETWEEN(1,2)/100)^(IF(RANDBETWEEN(0,1)=0,1,-1)),0.25)</f>
        <v>31.5</v>
      </c>
      <c r="B131" s="2" t="s">
        <v>2765</v>
      </c>
    </row>
    <row r="132" spans="1:4" x14ac:dyDescent="0.35">
      <c r="A132" s="4">
        <f ca="1">RANDBETWEEN(1,8)*5</f>
        <v>35</v>
      </c>
      <c r="B132" s="2" t="s">
        <v>2555</v>
      </c>
    </row>
    <row r="133" spans="1:4" ht="16" thickBot="1" x14ac:dyDescent="0.4"/>
    <row r="134" spans="1:4" ht="16.5" thickTop="1" thickBot="1" x14ac:dyDescent="0.4">
      <c r="B134" s="76" t="str">
        <f ca="1">[1]!std_ans($C$134)</f>
        <v>B</v>
      </c>
      <c r="C134" s="79" t="str">
        <f ca="1" xml:space="preserve"> "/\" &amp;RANDBETWEEN( 1,120) &amp; "/\" &amp;RANDBETWEEN( 1,120) &amp; "/\" &amp;0.1 &amp; "/\" &amp; E128</f>
        <v>/\76/\95/\0.1/\39.5606060606061</v>
      </c>
      <c r="D134" s="80" t="s">
        <v>1734</v>
      </c>
    </row>
    <row r="135" spans="1:4" ht="16" thickTop="1" x14ac:dyDescent="0.35">
      <c r="B135" s="129">
        <f ca="1">[1]!stdnum_A($C$134)</f>
        <v>29.722468865970011</v>
      </c>
      <c r="C135" s="82"/>
      <c r="D135" s="77"/>
    </row>
    <row r="136" spans="1:4" x14ac:dyDescent="0.35">
      <c r="B136" s="129">
        <f ca="1">[1]!stdnum_B($C$134)</f>
        <v>39.560606060606098</v>
      </c>
      <c r="C136" s="82"/>
      <c r="D136" s="77"/>
    </row>
    <row r="137" spans="1:4" x14ac:dyDescent="0.35">
      <c r="B137" s="129">
        <f ca="1">[1]!stdnum_C($C$134)</f>
        <v>35.964187327823723</v>
      </c>
      <c r="C137" s="82"/>
      <c r="D137" s="77"/>
    </row>
    <row r="138" spans="1:4" x14ac:dyDescent="0.35">
      <c r="B138" s="129">
        <f ca="1">[1]!stdnum_D($C$134)</f>
        <v>32.694715752567021</v>
      </c>
      <c r="C138" s="82"/>
      <c r="D138" s="77"/>
    </row>
    <row r="139" spans="1:4" ht="16" thickBot="1" x14ac:dyDescent="0.4">
      <c r="B139" s="130">
        <f ca="1">[1]!stdnum_E($C$134)</f>
        <v>43.516666666666708</v>
      </c>
      <c r="C139" s="84"/>
      <c r="D139" s="78"/>
    </row>
    <row r="140" spans="1:4" ht="16" thickTop="1" x14ac:dyDescent="0.35"/>
    <row r="142" spans="1:4" x14ac:dyDescent="0.35">
      <c r="A142" s="120" t="s">
        <v>1737</v>
      </c>
    </row>
    <row r="143" spans="1:4" x14ac:dyDescent="0.35">
      <c r="A143" s="26">
        <f ca="1">RANDBETWEEN(15,40)/10</f>
        <v>3.5</v>
      </c>
      <c r="B143" s="2" t="s">
        <v>370</v>
      </c>
    </row>
    <row r="144" spans="1:4" x14ac:dyDescent="0.35">
      <c r="A144" s="26">
        <f ca="1">RANDBETWEEN(20,50)</f>
        <v>20</v>
      </c>
      <c r="B144" s="2" t="s">
        <v>371</v>
      </c>
    </row>
    <row r="145" spans="1:6" x14ac:dyDescent="0.35">
      <c r="A145" s="290">
        <f ca="1">RANDBETWEEN(4,10)</f>
        <v>9</v>
      </c>
      <c r="B145" s="2" t="s">
        <v>2723</v>
      </c>
      <c r="C145" s="63">
        <f ca="1">A145+1</f>
        <v>10</v>
      </c>
    </row>
    <row r="146" spans="1:6" x14ac:dyDescent="0.35">
      <c r="A146" s="7">
        <f ca="1">RANDBETWEEN(90,200)/1000</f>
        <v>0.19800000000000001</v>
      </c>
      <c r="B146" s="2" t="s">
        <v>1162</v>
      </c>
    </row>
    <row r="147" spans="1:6" x14ac:dyDescent="0.35">
      <c r="A147" s="181">
        <f ca="1">(A144+A143)/(1+A146)^C145</f>
        <v>3.8592212878183179</v>
      </c>
      <c r="B147" s="2" t="s">
        <v>2970</v>
      </c>
    </row>
    <row r="148" spans="1:6" ht="16" thickBot="1" x14ac:dyDescent="0.4"/>
    <row r="149" spans="1:6" ht="16.5" thickTop="1" thickBot="1" x14ac:dyDescent="0.4">
      <c r="B149" s="76" t="str">
        <f ca="1">[1]!std_ans($C$149)</f>
        <v>B</v>
      </c>
      <c r="C149" s="79" t="str">
        <f ca="1" xml:space="preserve"> "/\" &amp;RANDBETWEEN( 1,120) &amp; "/\" &amp;RANDBETWEEN( 1,120) &amp; "/\" &amp;0.1 &amp; "/\" &amp; A146</f>
        <v>/\102/\56/\0.1/\0.198</v>
      </c>
      <c r="D149" s="80" t="s">
        <v>1738</v>
      </c>
    </row>
    <row r="150" spans="1:6" ht="16" thickTop="1" x14ac:dyDescent="0.35">
      <c r="B150" s="112">
        <f ca="1">[1]!stdnum_A($C$149)</f>
        <v>0.21780000000000002</v>
      </c>
      <c r="C150" s="82"/>
      <c r="D150" s="77"/>
    </row>
    <row r="151" spans="1:6" x14ac:dyDescent="0.35">
      <c r="B151" s="112">
        <f ca="1">[1]!stdnum_B($C$149)</f>
        <v>0.19800000000000001</v>
      </c>
      <c r="C151" s="82"/>
      <c r="D151" s="77"/>
    </row>
    <row r="152" spans="1:6" x14ac:dyDescent="0.35">
      <c r="B152" s="112">
        <f ca="1">[1]!stdnum_C($C$149)</f>
        <v>0.23958000000000004</v>
      </c>
      <c r="C152" s="82"/>
      <c r="D152" s="77"/>
    </row>
    <row r="153" spans="1:6" x14ac:dyDescent="0.35">
      <c r="B153" s="112">
        <f ca="1">[1]!stdnum_D($C$149)</f>
        <v>0.16363636363636364</v>
      </c>
      <c r="C153" s="82"/>
      <c r="D153" s="77"/>
    </row>
    <row r="154" spans="1:6" ht="16" thickBot="1" x14ac:dyDescent="0.4">
      <c r="B154" s="113">
        <f ca="1">[1]!stdnum_E($C$149)</f>
        <v>0.18</v>
      </c>
      <c r="C154" s="84"/>
      <c r="D154" s="78"/>
    </row>
    <row r="155" spans="1:6" ht="16" thickTop="1" x14ac:dyDescent="0.35"/>
    <row r="157" spans="1:6" x14ac:dyDescent="0.35">
      <c r="A157" s="120" t="s">
        <v>1741</v>
      </c>
    </row>
    <row r="158" spans="1:6" x14ac:dyDescent="0.35">
      <c r="A158" s="51">
        <f ca="1">RANDBETWEEN(15,40)/10</f>
        <v>3.8</v>
      </c>
      <c r="B158" s="36" t="s">
        <v>908</v>
      </c>
      <c r="C158" s="36"/>
      <c r="D158" s="36"/>
      <c r="E158" s="51">
        <f ca="1">A158*(1+A160)</f>
        <v>3.9596</v>
      </c>
      <c r="F158" s="36" t="s">
        <v>1330</v>
      </c>
    </row>
    <row r="159" spans="1:6" x14ac:dyDescent="0.35">
      <c r="A159" s="51">
        <f ca="1">A158*(1+A160)/(A161-A160)</f>
        <v>57.385507246376804</v>
      </c>
      <c r="B159" s="36" t="s">
        <v>2970</v>
      </c>
      <c r="C159" s="36"/>
      <c r="D159" s="36"/>
      <c r="E159" s="51">
        <f ca="1">A158/(1+A160)</f>
        <v>3.6468330134357001</v>
      </c>
      <c r="F159" s="36" t="s">
        <v>1331</v>
      </c>
    </row>
    <row r="160" spans="1:6" x14ac:dyDescent="0.35">
      <c r="A160" s="52">
        <f ca="1">RANDBETWEEN(40,110)/1000</f>
        <v>4.2000000000000003E-2</v>
      </c>
      <c r="B160" s="36" t="s">
        <v>1161</v>
      </c>
      <c r="C160" s="36"/>
      <c r="D160" s="36"/>
      <c r="E160" s="36" t="str">
        <f ca="1">IF(E161=0,"Yesterday","One year ago")</f>
        <v>Yesterday</v>
      </c>
      <c r="F160" s="51">
        <f ca="1">IF(E161=0,A158,E159)</f>
        <v>3.8</v>
      </c>
    </row>
    <row r="161" spans="1:6" x14ac:dyDescent="0.35">
      <c r="A161" s="52">
        <f ca="1">A160+RANDBETWEEN(50,100)/1000</f>
        <v>0.11100000000000002</v>
      </c>
      <c r="B161" s="36" t="s">
        <v>1162</v>
      </c>
      <c r="C161" s="36"/>
      <c r="D161" s="36"/>
      <c r="E161" s="36">
        <f ca="1">(RANDBETWEEN(0,1))</f>
        <v>0</v>
      </c>
      <c r="F161" s="43"/>
    </row>
    <row r="162" spans="1:6" ht="16" thickBot="1" x14ac:dyDescent="0.4"/>
    <row r="163" spans="1:6" ht="16.5" thickTop="1" thickBot="1" x14ac:dyDescent="0.4">
      <c r="B163" s="76" t="str">
        <f ca="1">[1]!std_ans($C$163)</f>
        <v>B</v>
      </c>
      <c r="C163" s="79" t="str">
        <f ca="1" xml:space="preserve"> "/\" &amp;RANDBETWEEN( 1,120) &amp; "/\" &amp;RANDBETWEEN( 1,120) &amp; "/\" &amp;0.1 &amp; "/\" &amp; A161</f>
        <v>/\101/\76/\0.1/\0.111</v>
      </c>
      <c r="D163" s="80" t="s">
        <v>1742</v>
      </c>
    </row>
    <row r="164" spans="1:6" ht="16" thickTop="1" x14ac:dyDescent="0.35">
      <c r="B164" s="112">
        <f ca="1">[1]!stdnum_A($C$163)</f>
        <v>9.1735537190082636E-2</v>
      </c>
      <c r="C164" s="82"/>
      <c r="D164" s="77"/>
    </row>
    <row r="165" spans="1:6" x14ac:dyDescent="0.35">
      <c r="B165" s="112">
        <f ca="1">[1]!stdnum_B($C$163)</f>
        <v>0.111</v>
      </c>
      <c r="C165" s="82"/>
      <c r="D165" s="77"/>
    </row>
    <row r="166" spans="1:6" x14ac:dyDescent="0.35">
      <c r="B166" s="112">
        <f ca="1">[1]!stdnum_C($C$163)</f>
        <v>0.12210000000000001</v>
      </c>
      <c r="C166" s="82"/>
      <c r="D166" s="77"/>
    </row>
    <row r="167" spans="1:6" x14ac:dyDescent="0.35">
      <c r="B167" s="112">
        <f ca="1">[1]!stdnum_D($C$163)</f>
        <v>8.3395942900075112E-2</v>
      </c>
      <c r="C167" s="82"/>
      <c r="D167" s="77"/>
    </row>
    <row r="168" spans="1:6" ht="16" thickBot="1" x14ac:dyDescent="0.4">
      <c r="B168" s="113">
        <f ca="1">[1]!stdnum_E($C$163)</f>
        <v>0.10090909090909091</v>
      </c>
      <c r="C168" s="84"/>
      <c r="D168" s="78"/>
    </row>
    <row r="169" spans="1:6" ht="16" thickTop="1" x14ac:dyDescent="0.35"/>
    <row r="171" spans="1:6" x14ac:dyDescent="0.35">
      <c r="A171" s="88" t="s">
        <v>60</v>
      </c>
    </row>
    <row r="172" spans="1:6" x14ac:dyDescent="0.35">
      <c r="A172" s="51">
        <f ca="1">RANDBETWEEN(15,40)/10</f>
        <v>2.2000000000000002</v>
      </c>
      <c r="B172" s="36" t="s">
        <v>908</v>
      </c>
      <c r="C172" s="36"/>
      <c r="D172" s="36"/>
      <c r="E172" s="51">
        <f ca="1">A173*(1+A174)</f>
        <v>26.523288000000004</v>
      </c>
      <c r="F172" s="36" t="s">
        <v>1163</v>
      </c>
    </row>
    <row r="173" spans="1:6" x14ac:dyDescent="0.35">
      <c r="A173" s="51">
        <f ca="1">A172*(1+A174)/(A175-A174)</f>
        <v>24.156000000000002</v>
      </c>
      <c r="B173" s="36" t="s">
        <v>2970</v>
      </c>
      <c r="C173" s="36"/>
      <c r="D173" s="36"/>
      <c r="E173" s="51">
        <f ca="1">A172*(1+A174)</f>
        <v>2.4156000000000004</v>
      </c>
      <c r="F173" s="36" t="s">
        <v>1330</v>
      </c>
    </row>
    <row r="174" spans="1:6" x14ac:dyDescent="0.35">
      <c r="A174" s="52">
        <f ca="1">RANDBETWEEN(40,110)/1000</f>
        <v>9.8000000000000004E-2</v>
      </c>
      <c r="B174" s="36" t="s">
        <v>1161</v>
      </c>
      <c r="C174" s="36"/>
      <c r="D174" s="36">
        <f ca="1">(RANDBETWEEN(0,1))</f>
        <v>1</v>
      </c>
      <c r="E174" s="45" t="str">
        <f ca="1">IF(D174=0,"for","and sell it in one year for")</f>
        <v>and sell it in one year for</v>
      </c>
      <c r="F174" s="51">
        <f ca="1">IF(D174=0,A173,E172)</f>
        <v>26.523288000000004</v>
      </c>
    </row>
    <row r="175" spans="1:6" x14ac:dyDescent="0.35">
      <c r="A175" s="52">
        <f ca="1">A174+RANDBETWEEN(50,100)/1000</f>
        <v>0.19800000000000001</v>
      </c>
      <c r="B175" s="36" t="s">
        <v>1162</v>
      </c>
      <c r="C175" s="36"/>
      <c r="D175" s="36">
        <f ca="1">(RANDBETWEEN(0,1))</f>
        <v>1</v>
      </c>
      <c r="E175" s="291">
        <f ca="1">IF(D175=0,A172,E173)</f>
        <v>2.4156000000000004</v>
      </c>
      <c r="F175" s="36" t="str">
        <f ca="1">IF(D175=0,"was paid yesterday","should you expect next year")</f>
        <v>should you expect next year</v>
      </c>
    </row>
    <row r="177" spans="1:8" ht="16" thickBot="1" x14ac:dyDescent="0.4">
      <c r="B177" s="120" t="s">
        <v>59</v>
      </c>
      <c r="F177" s="120" t="s">
        <v>62</v>
      </c>
    </row>
    <row r="178" spans="1:8" ht="16.5" thickTop="1" thickBot="1" x14ac:dyDescent="0.4">
      <c r="B178" s="76" t="str">
        <f ca="1">[1]!std_ans($C$178)</f>
        <v>D</v>
      </c>
      <c r="C178" s="79" t="str">
        <f ca="1" xml:space="preserve"> "/\" &amp;RANDBETWEEN( 1,120) &amp; "/\" &amp;RANDBETWEEN( 1,120) &amp; "/\" &amp;0.1 &amp; "/\" &amp; E173</f>
        <v>/\107/\99/\0.1/\2.4156</v>
      </c>
      <c r="D178" s="80" t="s">
        <v>61</v>
      </c>
      <c r="F178" s="76" t="str">
        <f ca="1">[1]!std_ans($G$178)</f>
        <v>E</v>
      </c>
      <c r="G178" s="79" t="str">
        <f ca="1" xml:space="preserve"> "/\" &amp;RANDBETWEEN( 1,120) &amp; "/\" &amp;RANDBETWEEN( 1,120) &amp; "/\" &amp;0.1 &amp; "/\" &amp; E175</f>
        <v>/\94/\34/\0.1/\2.4156</v>
      </c>
      <c r="H178" s="80" t="s">
        <v>63</v>
      </c>
    </row>
    <row r="179" spans="1:8" ht="16" thickTop="1" x14ac:dyDescent="0.35">
      <c r="B179" s="129">
        <f ca="1">[1]!stdnum_A($C$178)</f>
        <v>2.1959999999999997</v>
      </c>
      <c r="C179" s="82"/>
      <c r="D179" s="77"/>
      <c r="F179" s="129">
        <f ca="1">[1]!stdnum_A($G$178)</f>
        <v>3.2151636000000008</v>
      </c>
      <c r="G179" s="82"/>
      <c r="H179" s="77"/>
    </row>
    <row r="180" spans="1:8" x14ac:dyDescent="0.35">
      <c r="B180" s="129">
        <f ca="1">[1]!stdnum_B($C$178)</f>
        <v>1.6498873027798644</v>
      </c>
      <c r="C180" s="82"/>
      <c r="D180" s="77"/>
      <c r="F180" s="129">
        <f ca="1">[1]!stdnum_B($G$178)</f>
        <v>2.1959999999999997</v>
      </c>
      <c r="G180" s="82"/>
      <c r="H180" s="77"/>
    </row>
    <row r="181" spans="1:8" x14ac:dyDescent="0.35">
      <c r="B181" s="129">
        <f ca="1">[1]!stdnum_C($C$178)</f>
        <v>1.8148760330578506</v>
      </c>
      <c r="C181" s="82"/>
      <c r="D181" s="77"/>
      <c r="F181" s="129">
        <f ca="1">[1]!stdnum_C($G$178)</f>
        <v>2.6571600000000002</v>
      </c>
      <c r="G181" s="82"/>
      <c r="H181" s="77"/>
    </row>
    <row r="182" spans="1:8" x14ac:dyDescent="0.35">
      <c r="B182" s="129">
        <f ca="1">[1]!stdnum_D($C$178)</f>
        <v>2.4156</v>
      </c>
      <c r="C182" s="82"/>
      <c r="D182" s="77"/>
      <c r="F182" s="129">
        <f ca="1">[1]!stdnum_D($G$178)</f>
        <v>2.9228760000000005</v>
      </c>
      <c r="G182" s="82"/>
      <c r="H182" s="77"/>
    </row>
    <row r="183" spans="1:8" ht="16" thickBot="1" x14ac:dyDescent="0.4">
      <c r="B183" s="130">
        <f ca="1">[1]!stdnum_E($C$178)</f>
        <v>1.9963636363636361</v>
      </c>
      <c r="C183" s="84"/>
      <c r="D183" s="78"/>
      <c r="F183" s="130">
        <f ca="1">[1]!stdnum_E($G$178)</f>
        <v>2.4156</v>
      </c>
      <c r="G183" s="84"/>
      <c r="H183" s="78"/>
    </row>
    <row r="184" spans="1:8" ht="16" thickTop="1" x14ac:dyDescent="0.35"/>
    <row r="186" spans="1:8" x14ac:dyDescent="0.35">
      <c r="A186" s="88" t="s">
        <v>1498</v>
      </c>
    </row>
    <row r="187" spans="1:8" x14ac:dyDescent="0.35">
      <c r="A187" s="56">
        <f ca="1">RANDBETWEEN(15,45)/10</f>
        <v>4.5</v>
      </c>
      <c r="B187" s="36" t="s">
        <v>3453</v>
      </c>
      <c r="C187" s="36"/>
    </row>
    <row r="188" spans="1:8" x14ac:dyDescent="0.35">
      <c r="A188" s="40">
        <f ca="1">(A187/A190)^(1/A189)-1</f>
        <v>9.6126553571939111E-2</v>
      </c>
      <c r="B188" s="36" t="s">
        <v>1161</v>
      </c>
      <c r="C188" s="36">
        <f ca="1">RANDBETWEEN(8,20)/200</f>
        <v>0.1</v>
      </c>
    </row>
    <row r="189" spans="1:8" x14ac:dyDescent="0.35">
      <c r="A189" s="36">
        <f ca="1">RANDBETWEEN(4,10)</f>
        <v>9</v>
      </c>
      <c r="B189" s="36" t="s">
        <v>597</v>
      </c>
      <c r="C189" s="36"/>
    </row>
    <row r="190" spans="1:8" x14ac:dyDescent="0.35">
      <c r="A190" s="56">
        <f ca="1">ROUND((1+RANDBETWEEN(3,7)/100)^(IF(RANDBETWEEN(0,1)=0,1,-1))*A187/(1+C188)^A189,2)</f>
        <v>1.97</v>
      </c>
      <c r="B190" s="36" t="s">
        <v>3454</v>
      </c>
      <c r="C190" s="36"/>
    </row>
    <row r="191" spans="1:8" ht="16" thickBot="1" x14ac:dyDescent="0.4"/>
    <row r="192" spans="1:8" ht="16.5" thickTop="1" thickBot="1" x14ac:dyDescent="0.4">
      <c r="B192" s="76" t="str">
        <f ca="1">[1]!std_ans($C$192)</f>
        <v>C</v>
      </c>
      <c r="C192" s="79" t="str">
        <f ca="1" xml:space="preserve"> "/\" &amp;RANDBETWEEN( 1,120) &amp; "/\" &amp;RANDBETWEEN( 1,120) &amp; "/\" &amp;0.1 &amp; "/\" &amp; A188</f>
        <v>/\109/\65/\0.1/\0.0961265535719391</v>
      </c>
      <c r="D192" s="80" t="s">
        <v>1499</v>
      </c>
    </row>
    <row r="193" spans="1:6" ht="16" thickTop="1" x14ac:dyDescent="0.35">
      <c r="B193" s="92">
        <f ca="1">[1]!stdnum_A($C$192)</f>
        <v>8.7387775974490087E-2</v>
      </c>
      <c r="C193" s="82"/>
      <c r="D193" s="77"/>
    </row>
    <row r="194" spans="1:6" x14ac:dyDescent="0.35">
      <c r="B194" s="92">
        <f ca="1">[1]!stdnum_B($C$192)</f>
        <v>0.11631312982204632</v>
      </c>
      <c r="C194" s="82"/>
      <c r="D194" s="77"/>
    </row>
    <row r="195" spans="1:6" x14ac:dyDescent="0.35">
      <c r="B195" s="92">
        <f ca="1">[1]!stdnum_C($C$192)</f>
        <v>9.6126553571939097E-2</v>
      </c>
      <c r="C195" s="82"/>
      <c r="D195" s="77"/>
    </row>
    <row r="196" spans="1:6" x14ac:dyDescent="0.35">
      <c r="B196" s="92">
        <f ca="1">[1]!stdnum_D($C$192)</f>
        <v>0.10573920892913302</v>
      </c>
      <c r="C196" s="82"/>
      <c r="D196" s="77"/>
    </row>
    <row r="197" spans="1:6" ht="16" thickBot="1" x14ac:dyDescent="0.4">
      <c r="B197" s="93">
        <f ca="1">[1]!stdnum_E($C$192)</f>
        <v>7.9443432704081884E-2</v>
      </c>
      <c r="C197" s="84"/>
      <c r="D197" s="78"/>
    </row>
    <row r="198" spans="1:6" ht="16" thickTop="1" x14ac:dyDescent="0.35"/>
    <row r="200" spans="1:6" x14ac:dyDescent="0.35">
      <c r="A200" s="120" t="s">
        <v>1073</v>
      </c>
    </row>
    <row r="201" spans="1:6" x14ac:dyDescent="0.35">
      <c r="A201" s="51">
        <f ca="1">RANDBETWEEN(14,30)/10</f>
        <v>2.7</v>
      </c>
      <c r="B201" s="36" t="s">
        <v>2965</v>
      </c>
      <c r="C201" s="36"/>
      <c r="D201" s="36"/>
      <c r="E201" s="51">
        <f ca="1">(A201*(1+A204)+A202)/(1+A203)</f>
        <v>32.214785651793527</v>
      </c>
      <c r="F201" s="36" t="s">
        <v>2620</v>
      </c>
    </row>
    <row r="202" spans="1:6" x14ac:dyDescent="0.35">
      <c r="A202" s="49">
        <f ca="1">ROUND((1+RANDBETWEEN(16,25)/100)^(IF(RANDBETWEEN(0,1)=0,1,-1))*A201/(A203-A204),0)</f>
        <v>34</v>
      </c>
      <c r="B202" s="36" t="s">
        <v>2580</v>
      </c>
      <c r="C202" s="36"/>
      <c r="D202" s="36"/>
      <c r="E202" s="36"/>
      <c r="F202" s="36"/>
    </row>
    <row r="203" spans="1:6" x14ac:dyDescent="0.35">
      <c r="A203" s="61">
        <f ca="1">A204+RANDBETWEEN(65,105)/1000</f>
        <v>0.14300000000000002</v>
      </c>
      <c r="B203" s="36" t="s">
        <v>2239</v>
      </c>
      <c r="C203" s="36"/>
      <c r="D203" s="36"/>
      <c r="E203" s="36"/>
      <c r="F203" s="36"/>
    </row>
    <row r="204" spans="1:6" x14ac:dyDescent="0.35">
      <c r="A204" s="61">
        <f ca="1">RANDBETWEEN(35,75)/1000</f>
        <v>4.4999999999999998E-2</v>
      </c>
      <c r="B204" s="36" t="s">
        <v>1161</v>
      </c>
      <c r="C204" s="36"/>
      <c r="D204" s="36"/>
      <c r="E204" s="36"/>
      <c r="F204" s="36"/>
    </row>
    <row r="205" spans="1:6" ht="16" thickBot="1" x14ac:dyDescent="0.4"/>
    <row r="206" spans="1:6" ht="16.5" thickTop="1" thickBot="1" x14ac:dyDescent="0.4">
      <c r="B206" s="76" t="str">
        <f ca="1">[1]!std_ans($C$206)</f>
        <v>B</v>
      </c>
      <c r="C206" s="79" t="str">
        <f ca="1" xml:space="preserve"> "/\" &amp;RANDBETWEEN( 1,120) &amp; "/\" &amp;RANDBETWEEN( 1,120) &amp; "/\" &amp;0.1 &amp; "/\" &amp; E201</f>
        <v>/\102/\96/\0.1/\32.2147856517935</v>
      </c>
      <c r="D206" s="80" t="s">
        <v>1074</v>
      </c>
    </row>
    <row r="207" spans="1:6" ht="16" thickTop="1" x14ac:dyDescent="0.35">
      <c r="B207" s="129">
        <f ca="1">[1]!stdnum_A($C$206)</f>
        <v>24.203445268064229</v>
      </c>
      <c r="C207" s="82"/>
      <c r="D207" s="77"/>
    </row>
    <row r="208" spans="1:6" x14ac:dyDescent="0.35">
      <c r="B208" s="129">
        <f ca="1">[1]!stdnum_B($C$206)</f>
        <v>32.214785651793498</v>
      </c>
      <c r="C208" s="82"/>
      <c r="D208" s="77"/>
    </row>
    <row r="209" spans="1:18" x14ac:dyDescent="0.35">
      <c r="B209" s="129">
        <f ca="1">[1]!stdnum_C($C$206)</f>
        <v>26.623789794870657</v>
      </c>
      <c r="C209" s="82"/>
      <c r="D209" s="77"/>
    </row>
    <row r="210" spans="1:18" x14ac:dyDescent="0.35">
      <c r="B210" s="129">
        <f ca="1">[1]!stdnum_D($C$206)</f>
        <v>29.286168774357726</v>
      </c>
      <c r="C210" s="82"/>
      <c r="D210" s="77"/>
    </row>
    <row r="211" spans="1:18" ht="16" thickBot="1" x14ac:dyDescent="0.4">
      <c r="B211" s="130">
        <f ca="1">[1]!stdnum_E($C$206)</f>
        <v>35.436264216972852</v>
      </c>
      <c r="C211" s="84"/>
      <c r="D211" s="78"/>
    </row>
    <row r="212" spans="1:18" ht="16" thickTop="1" x14ac:dyDescent="0.35"/>
    <row r="214" spans="1:18" x14ac:dyDescent="0.35">
      <c r="A214" s="88" t="s">
        <v>1076</v>
      </c>
    </row>
    <row r="215" spans="1:18" x14ac:dyDescent="0.35">
      <c r="A215" s="51">
        <f ca="1">RANDBETWEEN(14,30)/10</f>
        <v>1.8</v>
      </c>
      <c r="B215" s="36" t="s">
        <v>1650</v>
      </c>
      <c r="C215" s="36"/>
      <c r="D215" s="36"/>
      <c r="E215" s="53">
        <f ca="1">E216+RANDBETWEEN(50,90)/1000</f>
        <v>0.15524918187953887</v>
      </c>
      <c r="F215" s="36" t="s">
        <v>906</v>
      </c>
      <c r="G215" s="36"/>
      <c r="H215" s="36"/>
      <c r="I215" s="40">
        <f ca="1">E218/I216+E216</f>
        <v>0.13548091196851492</v>
      </c>
      <c r="J215" s="36" t="s">
        <v>2843</v>
      </c>
      <c r="K215" s="36"/>
      <c r="L215" s="36"/>
      <c r="M215" s="36"/>
      <c r="N215" s="36"/>
      <c r="O215" s="36"/>
      <c r="P215" s="36"/>
      <c r="Q215" s="36"/>
      <c r="R215" s="36"/>
    </row>
    <row r="216" spans="1:18" x14ac:dyDescent="0.35">
      <c r="A216" s="51">
        <f ca="1">ROUND(A215/(1+G216)^(A217-1),2)</f>
        <v>1.3</v>
      </c>
      <c r="B216" s="36" t="s">
        <v>1651</v>
      </c>
      <c r="C216" s="36"/>
      <c r="D216" s="36"/>
      <c r="E216" s="53">
        <f ca="1">(A215/A216)^(1/(A217-1))-1</f>
        <v>6.7249181879538877E-2</v>
      </c>
      <c r="F216" s="36" t="s">
        <v>3047</v>
      </c>
      <c r="G216" s="54">
        <f ca="1">RANDBETWEEN(40,80)/1000</f>
        <v>6.8000000000000005E-2</v>
      </c>
      <c r="H216" s="36"/>
      <c r="I216" s="42">
        <f ca="1">E219+E217</f>
        <v>30.048153059097515</v>
      </c>
      <c r="J216" s="36" t="s">
        <v>2844</v>
      </c>
      <c r="K216" s="36"/>
      <c r="L216" s="36"/>
      <c r="M216" s="36"/>
      <c r="N216" s="36"/>
      <c r="O216" s="36"/>
      <c r="P216" s="36"/>
      <c r="Q216" s="36"/>
      <c r="R216" s="36"/>
    </row>
    <row r="217" spans="1:18" x14ac:dyDescent="0.35">
      <c r="A217" s="45">
        <f ca="1">RANDBETWEEN(4,8)</f>
        <v>6</v>
      </c>
      <c r="B217" s="36" t="s">
        <v>1652</v>
      </c>
      <c r="C217" s="36"/>
      <c r="D217" s="36"/>
      <c r="E217" s="51">
        <f ca="1">A215*(1+E216)^2/(E215-E216)</f>
        <v>23.298153059097515</v>
      </c>
      <c r="F217" s="36" t="s">
        <v>2620</v>
      </c>
      <c r="G217" s="36"/>
      <c r="H217" s="36"/>
      <c r="I217" s="36"/>
      <c r="J217" s="36"/>
      <c r="K217" s="36"/>
      <c r="L217" s="36"/>
      <c r="M217" s="36"/>
      <c r="N217" s="36"/>
      <c r="O217" s="36"/>
      <c r="P217" s="36"/>
      <c r="Q217" s="36"/>
      <c r="R217" s="36"/>
    </row>
    <row r="218" spans="1:18" x14ac:dyDescent="0.35">
      <c r="A218" s="61">
        <f ca="1">RANDBETWEEN(35,75)/1000</f>
        <v>5.8000000000000003E-2</v>
      </c>
      <c r="B218" s="36" t="s">
        <v>1653</v>
      </c>
      <c r="C218" s="36"/>
      <c r="D218" s="36"/>
      <c r="E218" s="51">
        <f ca="1">A215*(1+E216)^2</f>
        <v>2.0502374692005811</v>
      </c>
      <c r="F218" s="36" t="s">
        <v>2621</v>
      </c>
      <c r="G218" s="36"/>
      <c r="H218" s="36"/>
      <c r="I218" s="36"/>
      <c r="J218" s="36"/>
      <c r="K218" s="36"/>
      <c r="L218" s="36"/>
      <c r="M218" s="36"/>
      <c r="N218" s="36"/>
      <c r="O218" s="36"/>
      <c r="P218" s="36"/>
      <c r="Q218" s="36"/>
      <c r="R218" s="36"/>
    </row>
    <row r="219" spans="1:18" x14ac:dyDescent="0.35">
      <c r="A219" s="61">
        <f ca="1">E215-A218</f>
        <v>9.7249181879538876E-2</v>
      </c>
      <c r="B219" s="36" t="s">
        <v>3755</v>
      </c>
      <c r="C219" s="36"/>
      <c r="D219" s="36"/>
      <c r="E219" s="51">
        <f ca="1">RANDBETWEEN(4,10)*0.75</f>
        <v>6.75</v>
      </c>
      <c r="F219" s="36" t="s">
        <v>2842</v>
      </c>
      <c r="G219" s="36"/>
      <c r="H219" s="36"/>
      <c r="I219" s="36"/>
      <c r="J219" s="36"/>
      <c r="K219" s="36"/>
      <c r="L219" s="36"/>
      <c r="M219" s="36"/>
      <c r="N219" s="36"/>
      <c r="O219" s="36"/>
      <c r="P219" s="36"/>
      <c r="Q219" s="36"/>
      <c r="R219" s="36"/>
    </row>
    <row r="221" spans="1:18" ht="16" thickBot="1" x14ac:dyDescent="0.4">
      <c r="B221" s="88" t="s">
        <v>1075</v>
      </c>
      <c r="F221" s="120" t="s">
        <v>2587</v>
      </c>
    </row>
    <row r="222" spans="1:18" ht="16.5" thickTop="1" thickBot="1" x14ac:dyDescent="0.4">
      <c r="B222" s="76" t="str">
        <f ca="1">[1]!std_ans($C$222)</f>
        <v>D</v>
      </c>
      <c r="C222" s="79" t="str">
        <f ca="1" xml:space="preserve"> "/\" &amp;RANDBETWEEN( 1,120) &amp; "/\" &amp;RANDBETWEEN( 1,120) &amp; "/\" &amp;0.1 &amp; "/\" &amp; E217</f>
        <v>/\33/\54/\0.1/\23.2981530590975</v>
      </c>
      <c r="D222" s="80" t="s">
        <v>1077</v>
      </c>
      <c r="F222" s="76" t="str">
        <f ca="1">[1]!std_ans($G$222)</f>
        <v>E</v>
      </c>
      <c r="G222" s="79" t="str">
        <f ca="1" xml:space="preserve"> "/\" &amp;RANDBETWEEN( 1,120) &amp; "/\" &amp;RANDBETWEEN( 1,120) &amp; "/\" &amp;0.1 &amp; "/\" &amp; I215</f>
        <v>/\48/\13/\0.1/\0.135480911968515</v>
      </c>
      <c r="H222" s="80" t="s">
        <v>2588</v>
      </c>
    </row>
    <row r="223" spans="1:18" ht="16" thickTop="1" x14ac:dyDescent="0.35">
      <c r="B223" s="129">
        <f ca="1">[1]!stdnum_A($C$222)</f>
        <v>19.254671949667355</v>
      </c>
      <c r="C223" s="82"/>
      <c r="D223" s="77"/>
      <c r="F223" s="92">
        <f ca="1">[1]!stdnum_A($G$222)</f>
        <v>0.18032509383009351</v>
      </c>
      <c r="G223" s="82"/>
      <c r="H223" s="77"/>
    </row>
    <row r="224" spans="1:18" x14ac:dyDescent="0.35">
      <c r="B224" s="129">
        <f ca="1">[1]!stdnum_B($C$222)</f>
        <v>28.190765201507983</v>
      </c>
      <c r="C224" s="82"/>
      <c r="D224" s="77"/>
      <c r="F224" s="92">
        <f ca="1">[1]!stdnum_B($G$222)</f>
        <v>0.19835760321310286</v>
      </c>
      <c r="G224" s="82"/>
      <c r="H224" s="77"/>
    </row>
    <row r="225" spans="1:12" x14ac:dyDescent="0.35">
      <c r="B225" s="129">
        <f ca="1">[1]!stdnum_C($C$222)</f>
        <v>25.627968365007252</v>
      </c>
      <c r="C225" s="82"/>
      <c r="D225" s="77"/>
      <c r="F225" s="92">
        <f ca="1">[1]!stdnum_C($G$222)</f>
        <v>0.16393190348190317</v>
      </c>
      <c r="G225" s="82"/>
      <c r="H225" s="77"/>
    </row>
    <row r="226" spans="1:12" x14ac:dyDescent="0.35">
      <c r="B226" s="129">
        <f ca="1">[1]!stdnum_D($C$222)</f>
        <v>23.298153059097501</v>
      </c>
      <c r="C226" s="82"/>
      <c r="D226" s="77"/>
      <c r="F226" s="92">
        <f ca="1">[1]!stdnum_D($G$222)</f>
        <v>0.14902900316536652</v>
      </c>
      <c r="G226" s="82"/>
      <c r="H226" s="77"/>
    </row>
    <row r="227" spans="1:12" ht="16" thickBot="1" x14ac:dyDescent="0.4">
      <c r="B227" s="130">
        <f ca="1">[1]!stdnum_E($C$222)</f>
        <v>21.18013914463409</v>
      </c>
      <c r="C227" s="84"/>
      <c r="D227" s="78"/>
      <c r="F227" s="93">
        <f ca="1">[1]!stdnum_E($G$222)</f>
        <v>0.135480911968515</v>
      </c>
      <c r="G227" s="84"/>
      <c r="H227" s="78"/>
    </row>
    <row r="228" spans="1:12" ht="16" thickTop="1" x14ac:dyDescent="0.35"/>
    <row r="230" spans="1:12" x14ac:dyDescent="0.35">
      <c r="A230" s="88" t="s">
        <v>2589</v>
      </c>
    </row>
    <row r="231" spans="1:12" x14ac:dyDescent="0.35">
      <c r="A231" s="51">
        <f ca="1">RANDBETWEEN(15,40)/10</f>
        <v>3</v>
      </c>
      <c r="B231" s="36" t="s">
        <v>908</v>
      </c>
      <c r="C231" s="36"/>
      <c r="D231" s="36"/>
      <c r="E231" s="51">
        <f ca="1">A231*(1+A233)</f>
        <v>3.1769999999999996</v>
      </c>
      <c r="F231" s="36" t="s">
        <v>1330</v>
      </c>
      <c r="H231" s="27">
        <f ca="1">A232</f>
        <v>39.222222222222207</v>
      </c>
      <c r="I231" s="292" t="str">
        <f ca="1">IF(A232&gt;A235,"undervalued","overvalued")</f>
        <v>undervalued</v>
      </c>
    </row>
    <row r="232" spans="1:12" x14ac:dyDescent="0.35">
      <c r="A232" s="51">
        <f ca="1">A231*(1+A233)/(A234-A233)</f>
        <v>39.222222222222207</v>
      </c>
      <c r="B232" s="36" t="s">
        <v>2620</v>
      </c>
      <c r="C232" s="36"/>
      <c r="D232" s="36"/>
      <c r="E232" s="51">
        <f ca="1">A231/(1+A233)</f>
        <v>2.8328611898017</v>
      </c>
      <c r="F232" s="36" t="s">
        <v>1331</v>
      </c>
      <c r="I232" s="292" t="str">
        <f ca="1">IF(I231="undervalued","overvalued","undervalued")</f>
        <v>overvalued</v>
      </c>
    </row>
    <row r="233" spans="1:12" x14ac:dyDescent="0.35">
      <c r="A233" s="52">
        <f ca="1">RANDBETWEEN(40,110)/1000</f>
        <v>5.8999999999999997E-2</v>
      </c>
      <c r="B233" s="36" t="s">
        <v>1161</v>
      </c>
      <c r="C233" s="36"/>
      <c r="D233" s="36"/>
      <c r="E233" s="52">
        <f ca="1">ABS(A235/A232-1)</f>
        <v>0.13846153846153852</v>
      </c>
      <c r="F233" s="36" t="s">
        <v>2085</v>
      </c>
    </row>
    <row r="234" spans="1:12" x14ac:dyDescent="0.35">
      <c r="A234" s="52">
        <f ca="1">A233+RANDBETWEEN(50,100)/1000</f>
        <v>0.14000000000000001</v>
      </c>
      <c r="B234" s="36" t="s">
        <v>1162</v>
      </c>
      <c r="C234" s="36"/>
      <c r="D234" s="36"/>
      <c r="E234" s="50">
        <f ca="1">RANDBETWEEN(6,15)*5/100</f>
        <v>0.65</v>
      </c>
      <c r="F234" s="36" t="s">
        <v>2877</v>
      </c>
      <c r="H234" s="293">
        <f ca="1">IF(ABS(E233)&gt;0.06,E233,"#RECALCULATE")</f>
        <v>0.13846153846153852</v>
      </c>
      <c r="I234" s="292" t="str">
        <f ca="1">IF(A232&gt;A235,"undervalued","overvalued")</f>
        <v>undervalued</v>
      </c>
    </row>
    <row r="235" spans="1:12" x14ac:dyDescent="0.35">
      <c r="A235" s="46">
        <f ca="1">A232*CHOOSE(RANDBETWEEN(1,3),(IF(RANDBETWEEN(0,1)=0,1/1.2,1.2)),(IF(RANDBETWEEN(0,1)=0,1/1.3,1.3)),(IF(RANDBETWEEN(0,1)=0,1/1.4,1.4)))*RANDBETWEEN(85,115)/100</f>
        <v>33.791452991452978</v>
      </c>
      <c r="B235" s="36" t="s">
        <v>2970</v>
      </c>
      <c r="C235" s="36"/>
      <c r="D235" s="36"/>
      <c r="E235" s="59">
        <f ca="1">A235/(A231/E234)</f>
        <v>7.321481481481479</v>
      </c>
      <c r="F235" s="36" t="s">
        <v>3381</v>
      </c>
      <c r="H235" s="294"/>
      <c r="I235" s="292" t="str">
        <f ca="1">IF(I234="undervalued","overvalued","undervalued")</f>
        <v>overvalued</v>
      </c>
    </row>
    <row r="236" spans="1:12" x14ac:dyDescent="0.35">
      <c r="A236" s="36"/>
      <c r="B236" s="36"/>
      <c r="C236" s="36"/>
      <c r="D236" s="36"/>
      <c r="E236" s="36"/>
      <c r="F236" s="36"/>
    </row>
    <row r="237" spans="1:12" ht="16" thickBot="1" x14ac:dyDescent="0.4">
      <c r="B237" s="120" t="s">
        <v>543</v>
      </c>
      <c r="F237" s="120" t="s">
        <v>3491</v>
      </c>
      <c r="J237" s="120" t="s">
        <v>3492</v>
      </c>
    </row>
    <row r="238" spans="1:12" ht="16.5" thickTop="1" thickBot="1" x14ac:dyDescent="0.4">
      <c r="B238" s="76" t="str">
        <f ca="1">[1]!std_ans($C$238)</f>
        <v>C</v>
      </c>
      <c r="C238" s="79" t="str">
        <f ca="1" xml:space="preserve"> "/\" &amp;RANDBETWEEN( 1,120) &amp; "/\" &amp;RANDBETWEEN( 1,120) &amp; "/\" &amp;0.1 &amp; "/\" &amp; A232</f>
        <v>/\43/\63/\0.1/\39.2222222222222</v>
      </c>
      <c r="D238" s="80" t="s">
        <v>2590</v>
      </c>
      <c r="F238" s="76" t="str">
        <f ca="1">[1]!alpha_ans($G$238)</f>
        <v>E</v>
      </c>
      <c r="G238" s="79" t="str">
        <f ca="1" xml:space="preserve"> "/\" &amp;RANDBETWEEN( 1,5) &amp; "/\" &amp;RANDBETWEEN( 1,120) &amp; "/\" &amp;RANDBETWEEN( 1,6) &amp; "/\" &amp;RANDBETWEEN( 1,2) &amp; "/\" &amp; H231 &amp; "/\" &amp; "Mask" &amp; "/\" &amp; "Mask" &amp; "/\" &amp; I231 &amp; "/\" &amp; I232</f>
        <v>/\5/\65/\1/\1/\39.2222222222222/\Mask/\Mask/\undervalued/\overvalued</v>
      </c>
      <c r="H238" s="80" t="s">
        <v>2591</v>
      </c>
      <c r="J238" s="76" t="str">
        <f ca="1">[1]!alpha_ans($K$238)</f>
        <v>C</v>
      </c>
      <c r="K238" s="79" t="str">
        <f ca="1" xml:space="preserve"> "/\" &amp;RANDBETWEEN( 1,5) &amp; "/\" &amp;RANDBETWEEN( 1,120) &amp; "/\" &amp;RANDBETWEEN( 1,6) &amp; "/\" &amp;RANDBETWEEN( 1,2) &amp; "/\" &amp; H234 &amp; "/\" &amp; "Mask" &amp; "/\" &amp; "Mask" &amp; "/\" &amp; I234 &amp; "/\" &amp; I235</f>
        <v>/\3/\42/\4/\1/\0.138461538461539/\Mask/\Mask/\undervalued/\overvalued</v>
      </c>
      <c r="L238" s="80" t="s">
        <v>3751</v>
      </c>
    </row>
    <row r="239" spans="1:12" ht="16" thickTop="1" x14ac:dyDescent="0.35">
      <c r="B239" s="129">
        <f ca="1">[1]!stdnum_A($C$238)</f>
        <v>43.144444444444424</v>
      </c>
      <c r="C239" s="82"/>
      <c r="D239" s="77"/>
      <c r="F239" s="129">
        <f ca="1">[1]!onepair_A($G$238)</f>
        <v>45.105555555555497</v>
      </c>
      <c r="G239" s="82" t="str">
        <f ca="1">[1]!onepair_A2($G$238)</f>
        <v>overvalued</v>
      </c>
      <c r="H239" s="77"/>
      <c r="J239" s="92">
        <f ca="1">[1]!onepair_A($K$238)</f>
        <v>0.15923076923077001</v>
      </c>
      <c r="K239" s="82" t="str">
        <f ca="1">[1]!onepair_A2($K$238)</f>
        <v>undervalued</v>
      </c>
      <c r="L239" s="77"/>
    </row>
    <row r="240" spans="1:12" x14ac:dyDescent="0.35">
      <c r="B240" s="129">
        <f ca="1">[1]!stdnum_B($C$238)</f>
        <v>47.458888888888872</v>
      </c>
      <c r="C240" s="82"/>
      <c r="D240" s="77"/>
      <c r="F240" s="129">
        <f ca="1">[1]!onepair_B($G$238)</f>
        <v>51.871388888888902</v>
      </c>
      <c r="G240" s="82" t="str">
        <f ca="1">[1]!onepair_B2($G$238)</f>
        <v>undervalued</v>
      </c>
      <c r="H240" s="77"/>
      <c r="J240" s="92">
        <f ca="1">[1]!onepair_B($K$238)</f>
        <v>0.120401337792643</v>
      </c>
      <c r="K240" s="82" t="str">
        <f ca="1">[1]!onepair_B2($K$238)</f>
        <v>undervalued</v>
      </c>
      <c r="L240" s="77"/>
    </row>
    <row r="241" spans="1:12" x14ac:dyDescent="0.35">
      <c r="B241" s="129">
        <f ca="1">[1]!stdnum_C($C$238)</f>
        <v>39.2222222222222</v>
      </c>
      <c r="C241" s="82"/>
      <c r="D241" s="77"/>
      <c r="F241" s="129">
        <f ca="1">[1]!onepair_C($G$238)</f>
        <v>51.871388888888902</v>
      </c>
      <c r="G241" s="82" t="str">
        <f ca="1">[1]!onepair_C2($G$238)</f>
        <v>overvalued</v>
      </c>
      <c r="H241" s="77"/>
      <c r="J241" s="92">
        <f ca="1">[1]!onepair_C($K$238)</f>
        <v>0.138461538461539</v>
      </c>
      <c r="K241" s="82" t="str">
        <f ca="1">[1]!onepair_C2($K$238)</f>
        <v>undervalued</v>
      </c>
      <c r="L241" s="77"/>
    </row>
    <row r="242" spans="1:12" x14ac:dyDescent="0.35">
      <c r="B242" s="129">
        <f ca="1">[1]!stdnum_D($C$238)</f>
        <v>35.656565656565633</v>
      </c>
      <c r="C242" s="82"/>
      <c r="D242" s="77"/>
      <c r="F242" s="129">
        <f ca="1">[1]!onepair_D($G$238)</f>
        <v>39.2222222222222</v>
      </c>
      <c r="G242" s="82" t="str">
        <f ca="1">[1]!onepair_D2($G$238)</f>
        <v>overvalued</v>
      </c>
      <c r="H242" s="77"/>
      <c r="J242" s="92">
        <f ca="1">[1]!onepair_D($K$238)</f>
        <v>0.15923076923077001</v>
      </c>
      <c r="K242" s="82" t="str">
        <f ca="1">[1]!onepair_D2($K$238)</f>
        <v>overvalued</v>
      </c>
      <c r="L242" s="77"/>
    </row>
    <row r="243" spans="1:12" ht="16" thickBot="1" x14ac:dyDescent="0.4">
      <c r="B243" s="130">
        <f ca="1">[1]!stdnum_E($C$238)</f>
        <v>32.415059687786936</v>
      </c>
      <c r="C243" s="84"/>
      <c r="D243" s="78"/>
      <c r="F243" s="130">
        <f ca="1">[1]!onepair_E($G$238)</f>
        <v>39.2222222222222</v>
      </c>
      <c r="G243" s="84" t="str">
        <f ca="1">[1]!onepair_E2($G$238)</f>
        <v>undervalued</v>
      </c>
      <c r="H243" s="78"/>
      <c r="J243" s="93">
        <f ca="1">[1]!onepair_E($K$238)</f>
        <v>0.138461538461539</v>
      </c>
      <c r="K243" s="84" t="str">
        <f ca="1">[1]!onepair_E2($K$238)</f>
        <v>overvalued</v>
      </c>
      <c r="L243" s="78"/>
    </row>
    <row r="244" spans="1:12" ht="16" thickTop="1" x14ac:dyDescent="0.35"/>
    <row r="246" spans="1:12" x14ac:dyDescent="0.35">
      <c r="A246" s="88" t="s">
        <v>1879</v>
      </c>
    </row>
    <row r="247" spans="1:12" x14ac:dyDescent="0.35">
      <c r="A247" s="37">
        <f ca="1">RANDBETWEEN(10,25)*100</f>
        <v>1700</v>
      </c>
      <c r="B247" s="55" t="s">
        <v>0</v>
      </c>
      <c r="C247" s="36"/>
      <c r="D247" s="36"/>
      <c r="E247" s="37">
        <f ca="1">A247+A248</f>
        <v>5600</v>
      </c>
      <c r="F247" s="36" t="s">
        <v>1724</v>
      </c>
      <c r="K247" s="2" t="s">
        <v>72</v>
      </c>
    </row>
    <row r="248" spans="1:12" x14ac:dyDescent="0.35">
      <c r="A248" s="37">
        <f ca="1">RANDBETWEEN(10,40)*100</f>
        <v>3900</v>
      </c>
      <c r="B248" s="55" t="s">
        <v>1010</v>
      </c>
      <c r="C248" s="36"/>
      <c r="D248" s="36"/>
      <c r="E248" s="43">
        <f ca="1">A250*A251*A252</f>
        <v>42.84</v>
      </c>
      <c r="F248" s="36" t="s">
        <v>2073</v>
      </c>
      <c r="H248" s="292">
        <f ca="1">IF(E251&gt;4,E251,"#RECALCULATE")</f>
        <v>7.0818500215436151</v>
      </c>
      <c r="I248" s="292" t="str">
        <f ca="1">IF(E251&gt;E252,"undervalued","overvalued")</f>
        <v>overvalued</v>
      </c>
      <c r="K248" s="292" t="str">
        <f ca="1">IF(F$257="A",IF(F258&gt;G258,"undervalued","overvalued"),CHOOSE(RANDBETWEEN(1,2),"undervalued","overvalued"))</f>
        <v>overvalued</v>
      </c>
    </row>
    <row r="249" spans="1:12" x14ac:dyDescent="0.35">
      <c r="A249" s="36">
        <f ca="1">RANDBETWEEN(10,40)*10</f>
        <v>190</v>
      </c>
      <c r="B249" s="55" t="s">
        <v>2673</v>
      </c>
      <c r="C249" s="36"/>
      <c r="D249" s="36"/>
      <c r="E249" s="43">
        <f ca="1">A250*A251*(1-A252)</f>
        <v>128.52000000000001</v>
      </c>
      <c r="F249" s="36" t="s">
        <v>1608</v>
      </c>
      <c r="H249" s="291"/>
      <c r="I249" s="292" t="str">
        <f ca="1">IF(I248="undervalued","overvalued","undervalued")</f>
        <v>undervalued</v>
      </c>
      <c r="K249" s="292" t="str">
        <f ca="1">IF(F$257="B",IF(F259&gt;G259,"undervalued","overvalued"),CHOOSE(RANDBETWEEN(1,2),"undervalued","overvalued"))</f>
        <v>undervalued</v>
      </c>
    </row>
    <row r="250" spans="1:12" x14ac:dyDescent="0.35">
      <c r="A250" s="37">
        <f ca="1">(A247+A248)*RANDBETWEEN(11,35)/10</f>
        <v>10080</v>
      </c>
      <c r="B250" s="55" t="s">
        <v>1164</v>
      </c>
      <c r="C250" s="36"/>
      <c r="D250" s="36"/>
      <c r="E250" s="40">
        <f ca="1">A250*A251*(1-A252)*(1+A247/A248)/(E247-A250*A251*(1-A252)*(1+A247/A248))</f>
        <v>3.4076808043526675E-2</v>
      </c>
      <c r="F250" s="36" t="s">
        <v>1609</v>
      </c>
      <c r="K250" s="292" t="str">
        <f ca="1">IF(F$257="C",IF(F260&gt;G260,"undervalued","overvalued"),CHOOSE(RANDBETWEEN(1,2),"undervalued","overvalued"))</f>
        <v>undervalued</v>
      </c>
    </row>
    <row r="251" spans="1:12" x14ac:dyDescent="0.35">
      <c r="A251" s="40">
        <f ca="1">RANDBETWEEN(15,40)/1000</f>
        <v>1.7000000000000001E-2</v>
      </c>
      <c r="B251" s="55" t="s">
        <v>357</v>
      </c>
      <c r="C251" s="36"/>
      <c r="D251" s="36"/>
      <c r="E251" s="43">
        <f ca="1">IF(E250&lt;A254,(E248/A249)*(1+E250)/(A254-E250),"#RECALCULATE")</f>
        <v>7.0818500215436151</v>
      </c>
      <c r="F251" s="36" t="s">
        <v>1882</v>
      </c>
      <c r="K251" s="292" t="str">
        <f ca="1">IF(F$257="D",IF(F261&gt;G261,"undervalued","overvalued"),CHOOSE(RANDBETWEEN(1,2),"undervalued","overvalued"))</f>
        <v>overvalued</v>
      </c>
    </row>
    <row r="252" spans="1:12" x14ac:dyDescent="0.35">
      <c r="A252" s="47">
        <f ca="1">5*RANDBETWEEN(4,12)/100</f>
        <v>0.25</v>
      </c>
      <c r="B252" s="55" t="s">
        <v>2877</v>
      </c>
      <c r="C252" s="36"/>
      <c r="D252" s="36"/>
      <c r="E252" s="43">
        <f ca="1">(IF(RANDBETWEEN(0,1)=0,1/1.1,1.1))*E251</f>
        <v>7.7900350236979774</v>
      </c>
      <c r="F252" s="36" t="s">
        <v>2797</v>
      </c>
      <c r="K252" s="292" t="str">
        <f ca="1">IF(F$257="E",IF(F262&gt;G262,"undervalued","overvalued"),CHOOSE(RANDBETWEEN(1,2),"undervalued","overvalued"))</f>
        <v>overvalued</v>
      </c>
    </row>
    <row r="253" spans="1:12" x14ac:dyDescent="0.35">
      <c r="A253" s="41">
        <f ca="1">E252/(A250*A251/A249)</f>
        <v>8.6374104487781018</v>
      </c>
      <c r="B253" s="55" t="s">
        <v>1011</v>
      </c>
      <c r="C253" s="36"/>
      <c r="D253" s="36"/>
      <c r="E253" s="36"/>
      <c r="F253" s="36"/>
    </row>
    <row r="254" spans="1:12" x14ac:dyDescent="0.35">
      <c r="A254" s="54">
        <f ca="1">ROUND(E250+RANDBETWEEN(30,60)/1000,3)</f>
        <v>6.7000000000000004E-2</v>
      </c>
      <c r="B254" s="55" t="s">
        <v>985</v>
      </c>
      <c r="C254" s="36"/>
      <c r="D254" s="36"/>
      <c r="E254" s="36"/>
      <c r="F254" s="36"/>
    </row>
    <row r="256" spans="1:12" ht="16" thickBot="1" x14ac:dyDescent="0.4">
      <c r="B256" s="88" t="s">
        <v>1878</v>
      </c>
      <c r="F256" s="120" t="s">
        <v>71</v>
      </c>
      <c r="J256" s="120" t="s">
        <v>73</v>
      </c>
    </row>
    <row r="257" spans="1:12" ht="16.5" thickTop="1" thickBot="1" x14ac:dyDescent="0.4">
      <c r="B257" s="76" t="str">
        <f ca="1">[1]!std_ans($C$257)</f>
        <v>E</v>
      </c>
      <c r="C257" s="79" t="str">
        <f ca="1" xml:space="preserve"> "/\" &amp;RANDBETWEEN( 1,120) &amp; "/\" &amp;RANDBETWEEN( 1,120) &amp; "/\" &amp;0.1 &amp; "/\" &amp; H248</f>
        <v>/\112/\114/\0.1/\7.08185002154362</v>
      </c>
      <c r="D257" s="80" t="s">
        <v>69</v>
      </c>
      <c r="F257" s="76" t="str">
        <f ca="1">[1]!alpha_ans($G$257)</f>
        <v>A</v>
      </c>
      <c r="G257" s="79" t="str">
        <f ca="1" xml:space="preserve"> "/\" &amp;RANDBETWEEN( 1,5) &amp; "/\" &amp;RANDBETWEEN( 1,120) &amp; "/\" &amp;RANDBETWEEN( 1,6) &amp; "/\" &amp;RANDBETWEEN( 1,2) &amp; "/\" &amp; H248 &amp; "/\" &amp; "Mask" &amp; "/\" &amp; "Mask" &amp; "/\" &amp; E252 &amp; "/\" &amp; "Mask"</f>
        <v>/\1/\45/\2/\2/\7.08185002154362/\Mask/\Mask/\7.79003502369798/\Mask</v>
      </c>
      <c r="H257" s="80" t="s">
        <v>70</v>
      </c>
      <c r="J257" s="76" t="str">
        <f ca="1">[1]!alpha_ans($K$257)</f>
        <v>C</v>
      </c>
      <c r="K257" s="79" t="str">
        <f ca="1" xml:space="preserve"> "/\" &amp;RANDBETWEEN( 1,5) &amp; "/\" &amp;RANDBETWEEN( 1,120) &amp; "/\" &amp;RANDBETWEEN( 1,6) &amp; "/\" &amp;RANDBETWEEN( 1,2) &amp; "/\" &amp; H248 &amp; "/\" &amp; "Mask" &amp; "/\" &amp; "Mask" &amp; "/\" &amp; I248 &amp; "/\" &amp; I249</f>
        <v>/\3/\109/\6/\2/\7.08185002154362/\Mask/\Mask/\overvalued/\undervalued</v>
      </c>
      <c r="L257" s="80" t="s">
        <v>74</v>
      </c>
    </row>
    <row r="258" spans="1:12" ht="16" thickTop="1" x14ac:dyDescent="0.35">
      <c r="B258" s="129">
        <f ca="1">[1]!stdnum_A($C$257)</f>
        <v>4.836998853591707</v>
      </c>
      <c r="C258" s="82"/>
      <c r="D258" s="77"/>
      <c r="F258" s="129">
        <f ca="1">IF([1]!onepair_A($G$257)=0,"RECALCULATE",[1]!onepair_A($G$257))</f>
        <v>7.0818500215436204</v>
      </c>
      <c r="G258" s="295">
        <f ca="1">[1]!onepair_A2($G$257)</f>
        <v>7.7900350236979801</v>
      </c>
      <c r="H258" s="77"/>
      <c r="J258" s="129">
        <f ca="1">IF([1]!onepair_A($K$257)=0,"#RECALCULATE",[1]!onepair_A($K$257))</f>
        <v>5.3548960465358197</v>
      </c>
      <c r="K258" s="82" t="str">
        <f ca="1">[1]!onepair_A2($K$257)</f>
        <v>undervalued</v>
      </c>
      <c r="L258" s="77"/>
    </row>
    <row r="259" spans="1:12" x14ac:dyDescent="0.35">
      <c r="B259" s="129">
        <f ca="1">[1]!stdnum_B($C$257)</f>
        <v>6.4380454741305639</v>
      </c>
      <c r="C259" s="82"/>
      <c r="D259" s="77"/>
      <c r="F259" s="129">
        <f ca="1">IF([1]!onepair_B($G$257)=0,"RECALCULATE",[1]!onepair_B($G$257))</f>
        <v>8.1441275247751594</v>
      </c>
      <c r="G259" s="295">
        <f ca="1">[1]!onepair_B2($G$257)</f>
        <v>8.9585402772526805</v>
      </c>
      <c r="H259" s="77"/>
      <c r="J259" s="129">
        <f ca="1">IF([1]!onepair_B($K$257)=0,"#RECALCULATE",[1]!onepair_B($K$257))</f>
        <v>6.1581304535161898</v>
      </c>
      <c r="K259" s="82" t="str">
        <f ca="1">[1]!onepair_B2($K$257)</f>
        <v>undervalued</v>
      </c>
      <c r="L259" s="77"/>
    </row>
    <row r="260" spans="1:12" x14ac:dyDescent="0.35">
      <c r="B260" s="129">
        <f ca="1">[1]!stdnum_C($C$257)</f>
        <v>5.8527686128459671</v>
      </c>
      <c r="C260" s="82"/>
      <c r="D260" s="77"/>
      <c r="F260" s="129">
        <f ca="1">IF([1]!onepair_C($G$257)=0,"RECALCULATE",[1]!onepair_C($G$257))</f>
        <v>9.3657466534914402</v>
      </c>
      <c r="G260" s="295">
        <f ca="1">[1]!onepair_C2($G$257)</f>
        <v>8.9585402772526805</v>
      </c>
      <c r="H260" s="77"/>
      <c r="J260" s="129">
        <f ca="1">IF([1]!onepair_C($K$257)=0,"#RECALCULATE",[1]!onepair_C($K$257))</f>
        <v>7.0818500215436204</v>
      </c>
      <c r="K260" s="82" t="str">
        <f ca="1">[1]!onepair_C2($K$257)</f>
        <v>overvalued</v>
      </c>
      <c r="L260" s="77"/>
    </row>
    <row r="261" spans="1:12" x14ac:dyDescent="0.35">
      <c r="B261" s="129">
        <f ca="1">[1]!stdnum_D($C$257)</f>
        <v>5.3206987389508775</v>
      </c>
      <c r="C261" s="82"/>
      <c r="D261" s="77"/>
      <c r="F261" s="129">
        <f ca="1">IF([1]!onepair_D($G$257)=0,"RECALCULATE",[1]!onepair_D($G$257))</f>
        <v>7.0818500215436204</v>
      </c>
      <c r="G261" s="295">
        <f ca="1">[1]!onepair_D2($G$257)</f>
        <v>8.9585402772526805</v>
      </c>
      <c r="H261" s="77"/>
      <c r="J261" s="129">
        <f ca="1">IF([1]!onepair_D($K$257)=0,"#RECALCULATE",[1]!onepair_D($K$257))</f>
        <v>6.1581304535161898</v>
      </c>
      <c r="K261" s="82" t="str">
        <f ca="1">[1]!onepair_D2($K$257)</f>
        <v>overvalued</v>
      </c>
      <c r="L261" s="77"/>
    </row>
    <row r="262" spans="1:12" ht="16" thickBot="1" x14ac:dyDescent="0.4">
      <c r="B262" s="130">
        <f ca="1">[1]!stdnum_E($C$257)</f>
        <v>7.0818500215436204</v>
      </c>
      <c r="C262" s="84"/>
      <c r="D262" s="78"/>
      <c r="F262" s="130">
        <f ca="1">IF([1]!onepair_E($G$257)=0,"RECALCULATE",[1]!onepair_E($G$257))</f>
        <v>8.1441275247751594</v>
      </c>
      <c r="G262" s="296">
        <f ca="1">[1]!onepair_E2($G$257)</f>
        <v>7.7900350236979801</v>
      </c>
      <c r="H262" s="78"/>
      <c r="J262" s="130">
        <f ca="1">IF([1]!onepair_E($K$257)=0,"#RECALCULATE",[1]!onepair_E($K$257))</f>
        <v>5.3548960465358197</v>
      </c>
      <c r="K262" s="84" t="str">
        <f ca="1">[1]!onepair_E2($K$257)</f>
        <v>overvalued</v>
      </c>
      <c r="L262" s="78"/>
    </row>
    <row r="263" spans="1:12" ht="16" thickTop="1" x14ac:dyDescent="0.35"/>
    <row r="266" spans="1:12" x14ac:dyDescent="0.35">
      <c r="A266" s="51">
        <f ca="1">RANDBETWEEN(8,36)/10</f>
        <v>3.4</v>
      </c>
      <c r="B266" s="55" t="s">
        <v>908</v>
      </c>
      <c r="C266" s="36"/>
      <c r="D266" s="36"/>
      <c r="E266" s="40">
        <f ca="1">A267*A268/(1-A267*A268)</f>
        <v>4.6901172529313237E-2</v>
      </c>
      <c r="F266" s="55" t="s">
        <v>1609</v>
      </c>
      <c r="G266" s="36"/>
    </row>
    <row r="267" spans="1:12" x14ac:dyDescent="0.35">
      <c r="A267" s="53">
        <f ca="1">RANDBETWEEN(110,195)/1000</f>
        <v>0.112</v>
      </c>
      <c r="B267" s="55" t="s">
        <v>904</v>
      </c>
      <c r="C267" s="36"/>
      <c r="D267" s="36"/>
      <c r="E267" s="43">
        <f ca="1">ROUND(A266*(1+E266)/(A269-E266),2)</f>
        <v>391.2</v>
      </c>
      <c r="F267" s="55" t="s">
        <v>907</v>
      </c>
      <c r="G267" s="36"/>
      <c r="I267" s="292">
        <f ca="1">IF(E267&gt;0,E267,"#RECALCULATE")</f>
        <v>391.2</v>
      </c>
      <c r="J267" s="292" t="str">
        <f ca="1">IF(E267&gt;E268,"undervalued","overvalued")</f>
        <v>undervalued</v>
      </c>
    </row>
    <row r="268" spans="1:12" x14ac:dyDescent="0.35">
      <c r="A268" s="59">
        <f ca="1">RANDBETWEEN(4,7)/10</f>
        <v>0.4</v>
      </c>
      <c r="B268" s="55" t="s">
        <v>905</v>
      </c>
      <c r="C268" s="36"/>
      <c r="D268" s="36"/>
      <c r="E268" s="60">
        <f ca="1">E267*(IF(RANDBETWEEN(0,1)=0,1/1.2,1.2))</f>
        <v>326</v>
      </c>
      <c r="F268" s="43" t="s">
        <v>184</v>
      </c>
      <c r="G268" s="36"/>
      <c r="I268" s="291"/>
      <c r="J268" s="292" t="str">
        <f ca="1">IF(J267="undervalued","overvalued","undervalued")</f>
        <v>overvalued</v>
      </c>
    </row>
    <row r="269" spans="1:12" x14ac:dyDescent="0.35">
      <c r="A269" s="52">
        <f ca="1">ROUND(E266*RANDBETWEEN(12,15)/10,3)</f>
        <v>5.6000000000000001E-2</v>
      </c>
      <c r="B269" s="55" t="s">
        <v>906</v>
      </c>
      <c r="C269" s="36"/>
      <c r="D269" s="36"/>
      <c r="E269" s="58">
        <f ca="1">A266/E268</f>
        <v>1.0429447852760737E-2</v>
      </c>
      <c r="F269" s="43" t="s">
        <v>185</v>
      </c>
      <c r="G269" s="36"/>
    </row>
    <row r="270" spans="1:12" x14ac:dyDescent="0.35">
      <c r="A270" s="50">
        <f ca="1">1-A268</f>
        <v>0.6</v>
      </c>
      <c r="B270" s="55" t="s">
        <v>2877</v>
      </c>
      <c r="C270" s="36"/>
      <c r="D270" s="36"/>
      <c r="E270" s="39"/>
      <c r="F270" s="40"/>
      <c r="G270" s="36"/>
    </row>
    <row r="272" spans="1:12" ht="16" thickBot="1" x14ac:dyDescent="0.4">
      <c r="B272" s="88" t="s">
        <v>75</v>
      </c>
      <c r="F272" s="88" t="s">
        <v>3339</v>
      </c>
    </row>
    <row r="273" spans="1:8" ht="16.5" thickTop="1" thickBot="1" x14ac:dyDescent="0.4">
      <c r="B273" s="76" t="str">
        <f ca="1">[1]!std_ans($C$273)</f>
        <v>C</v>
      </c>
      <c r="C273" s="79" t="str">
        <f ca="1" xml:space="preserve"> "/\" &amp;RANDBETWEEN( 1,120) &amp; "/\" &amp;RANDBETWEEN( 1,120) &amp; "/\" &amp;0.1 &amp; "/\" &amp; I267</f>
        <v>/\92/\32/\0.1/\391.2</v>
      </c>
      <c r="D273" s="80" t="s">
        <v>76</v>
      </c>
      <c r="F273" s="76" t="str">
        <f ca="1">[1]!alpha_ans($G$273)</f>
        <v>D</v>
      </c>
      <c r="G273" s="79" t="str">
        <f ca="1" xml:space="preserve"> "/\" &amp;RANDBETWEEN( 1,5) &amp; "/\" &amp;RANDBETWEEN( 1,120) &amp; "/\" &amp;RANDBETWEEN( 1,6) &amp; "/\" &amp;RANDBETWEEN( 1,2) &amp; "/\" &amp; I267 &amp; "/\" &amp; "Mask" &amp; "/\" &amp; "Mask" &amp; "/\" &amp; J267 &amp; "/\" &amp; J268</f>
        <v>/\4/\119/\6/\2/\391.2/\Mask/\Mask/\undervalued/\overvalued</v>
      </c>
      <c r="H273" s="80" t="s">
        <v>2052</v>
      </c>
    </row>
    <row r="274" spans="1:8" ht="16" thickTop="1" x14ac:dyDescent="0.35">
      <c r="B274" s="129">
        <f ca="1">[1]!stdnum_A($C$273)</f>
        <v>520.68720000000019</v>
      </c>
      <c r="C274" s="82"/>
      <c r="D274" s="77"/>
      <c r="F274" s="129">
        <f ca="1">[1]!onepair_A($G$273)</f>
        <v>295.803402646503</v>
      </c>
      <c r="G274" s="82" t="str">
        <f ca="1">[1]!onepair_A2($G$273)</f>
        <v>overvalued</v>
      </c>
      <c r="H274" s="77"/>
    </row>
    <row r="275" spans="1:8" x14ac:dyDescent="0.35">
      <c r="B275" s="129">
        <f ca="1">[1]!stdnum_B($C$273)</f>
        <v>473.35200000000003</v>
      </c>
      <c r="C275" s="82"/>
      <c r="D275" s="77"/>
      <c r="F275" s="129">
        <f ca="1">[1]!onepair_B($G$273)</f>
        <v>295.803402646503</v>
      </c>
      <c r="G275" s="82" t="str">
        <f ca="1">[1]!onepair_B2($G$273)</f>
        <v>undervalued</v>
      </c>
      <c r="H275" s="77"/>
    </row>
    <row r="276" spans="1:8" x14ac:dyDescent="0.35">
      <c r="B276" s="129">
        <f ca="1">[1]!stdnum_C($C$273)</f>
        <v>391.2</v>
      </c>
      <c r="C276" s="82"/>
      <c r="D276" s="77"/>
      <c r="F276" s="129">
        <f ca="1">[1]!onepair_C($G$273)</f>
        <v>340.17391304347802</v>
      </c>
      <c r="G276" s="82" t="str">
        <f ca="1">[1]!onepair_C2($G$273)</f>
        <v>overvalued</v>
      </c>
      <c r="H276" s="77"/>
    </row>
    <row r="277" spans="1:8" x14ac:dyDescent="0.35">
      <c r="B277" s="129">
        <f ca="1">[1]!stdnum_D($C$273)</f>
        <v>355.63636363636363</v>
      </c>
      <c r="C277" s="82"/>
      <c r="D277" s="77"/>
      <c r="F277" s="129">
        <f ca="1">[1]!onepair_D($G$273)</f>
        <v>391.2</v>
      </c>
      <c r="G277" s="82" t="str">
        <f ca="1">[1]!onepair_D2($G$273)</f>
        <v>undervalued</v>
      </c>
      <c r="H277" s="77"/>
    </row>
    <row r="278" spans="1:8" ht="16" thickBot="1" x14ac:dyDescent="0.4">
      <c r="B278" s="130">
        <f ca="1">[1]!stdnum_E($C$273)</f>
        <v>430.32000000000005</v>
      </c>
      <c r="C278" s="84"/>
      <c r="D278" s="78"/>
      <c r="F278" s="130">
        <f ca="1">[1]!onepair_E($G$273)</f>
        <v>340.17391304347802</v>
      </c>
      <c r="G278" s="84" t="str">
        <f ca="1">[1]!onepair_E2($G$273)</f>
        <v>undervalued</v>
      </c>
      <c r="H278" s="78"/>
    </row>
    <row r="279" spans="1:8" ht="16" thickTop="1" x14ac:dyDescent="0.35"/>
    <row r="281" spans="1:8" x14ac:dyDescent="0.35">
      <c r="A281" s="88" t="s">
        <v>820</v>
      </c>
    </row>
    <row r="282" spans="1:8" x14ac:dyDescent="0.35">
      <c r="A282" s="51">
        <f ca="1">RANDBETWEEN(20,50)/10</f>
        <v>2.1</v>
      </c>
      <c r="B282" s="55" t="s">
        <v>360</v>
      </c>
      <c r="C282" s="36"/>
      <c r="D282" s="36"/>
      <c r="E282" s="53">
        <f ca="1">A287*A288/(1-A287*A288)</f>
        <v>9.2011182194505658E-2</v>
      </c>
      <c r="F282" s="55" t="s">
        <v>1609</v>
      </c>
      <c r="G282" s="36"/>
    </row>
    <row r="283" spans="1:8" x14ac:dyDescent="0.35">
      <c r="A283" s="45">
        <f ca="1">ROUND(C287/(A284*A286),2)</f>
        <v>1.63</v>
      </c>
      <c r="B283" s="36" t="s">
        <v>2249</v>
      </c>
      <c r="C283" s="36"/>
      <c r="D283" s="36"/>
      <c r="E283" s="51">
        <f ca="1">ROUND(A282*A289*(1+E282)/(A290-E282),2)</f>
        <v>24.8</v>
      </c>
      <c r="F283" s="55" t="s">
        <v>907</v>
      </c>
      <c r="G283" s="36"/>
    </row>
    <row r="284" spans="1:8" x14ac:dyDescent="0.35">
      <c r="A284" s="52">
        <f ca="1">RANDBETWEEN(30,80)/1000</f>
        <v>5.6000000000000001E-2</v>
      </c>
      <c r="B284" s="36" t="s">
        <v>357</v>
      </c>
      <c r="C284" s="36"/>
      <c r="D284" s="36"/>
      <c r="E284" s="46">
        <f ca="1">E283*(IF(RANDBETWEEN(0,1)=0,1/1.2,1.2))</f>
        <v>29.759999999999998</v>
      </c>
      <c r="F284" s="43" t="s">
        <v>184</v>
      </c>
      <c r="G284" s="36"/>
    </row>
    <row r="285" spans="1:8" x14ac:dyDescent="0.35">
      <c r="A285" s="50">
        <f ca="1">RANDBETWEEN(5,10)*5/100</f>
        <v>0.35</v>
      </c>
      <c r="B285" s="36" t="s">
        <v>3000</v>
      </c>
      <c r="C285" s="36"/>
      <c r="D285" s="36"/>
      <c r="E285" s="59">
        <f ca="1">E284/A282</f>
        <v>14.171428571428569</v>
      </c>
      <c r="F285" s="36" t="s">
        <v>3002</v>
      </c>
      <c r="G285" s="36"/>
    </row>
    <row r="286" spans="1:8" x14ac:dyDescent="0.35">
      <c r="A286" s="59">
        <f ca="1">1/(1-A285)</f>
        <v>1.5384615384615383</v>
      </c>
      <c r="B286" s="36" t="s">
        <v>3001</v>
      </c>
      <c r="C286" s="36"/>
      <c r="D286" s="36"/>
      <c r="E286" s="36"/>
      <c r="F286" s="36"/>
      <c r="G286" s="36"/>
    </row>
    <row r="287" spans="1:8" x14ac:dyDescent="0.35">
      <c r="A287" s="53">
        <f ca="1">A283*A284*A286</f>
        <v>0.14043076923076922</v>
      </c>
      <c r="B287" s="55" t="s">
        <v>904</v>
      </c>
      <c r="C287" s="53">
        <f ca="1">RANDBETWEEN(10,20)/100</f>
        <v>0.14000000000000001</v>
      </c>
      <c r="D287" s="36"/>
      <c r="E287" s="292">
        <f ca="1">IF(E283&gt;0,E283,"#RECALCULATE")</f>
        <v>24.8</v>
      </c>
      <c r="F287" s="292" t="str">
        <f ca="1">IF(E283&gt;E284,"undervalued","overvalued")</f>
        <v>overvalued</v>
      </c>
      <c r="G287" s="36"/>
    </row>
    <row r="288" spans="1:8" x14ac:dyDescent="0.35">
      <c r="A288" s="59">
        <f ca="1">RANDBETWEEN(4,7)/10</f>
        <v>0.6</v>
      </c>
      <c r="B288" s="55" t="s">
        <v>905</v>
      </c>
      <c r="C288" s="36"/>
      <c r="D288" s="36"/>
      <c r="E288" s="291"/>
      <c r="F288" s="292" t="str">
        <f ca="1">IF(F287="undervalued","overvalued","undervalued")</f>
        <v>undervalued</v>
      </c>
      <c r="G288" s="36"/>
    </row>
    <row r="289" spans="1:9" x14ac:dyDescent="0.35">
      <c r="A289" s="50">
        <f ca="1">1-A288</f>
        <v>0.4</v>
      </c>
      <c r="B289" s="55" t="s">
        <v>2877</v>
      </c>
      <c r="C289" s="36"/>
      <c r="D289" s="36"/>
      <c r="E289" s="36"/>
      <c r="F289" s="36"/>
      <c r="G289" s="36"/>
    </row>
    <row r="290" spans="1:9" x14ac:dyDescent="0.35">
      <c r="A290" s="52">
        <f ca="1">ROUND(E282*RANDBETWEEN(12,15)/10,3)</f>
        <v>0.129</v>
      </c>
      <c r="B290" s="55" t="s">
        <v>906</v>
      </c>
      <c r="C290" s="36"/>
      <c r="D290" s="36"/>
      <c r="E290" s="36"/>
      <c r="F290" s="36"/>
      <c r="G290" s="36"/>
    </row>
    <row r="292" spans="1:9" ht="16" thickBot="1" x14ac:dyDescent="0.4">
      <c r="B292" s="88" t="s">
        <v>2053</v>
      </c>
      <c r="F292" s="88" t="s">
        <v>822</v>
      </c>
    </row>
    <row r="293" spans="1:9" ht="16.5" thickTop="1" thickBot="1" x14ac:dyDescent="0.4">
      <c r="B293" s="76" t="str">
        <f ca="1">[1]!std_ans($C$293)</f>
        <v>D</v>
      </c>
      <c r="C293" s="79" t="str">
        <f ca="1" xml:space="preserve"> "/\" &amp;RANDBETWEEN( 1,120) &amp; "/\" &amp;RANDBETWEEN( 1,120) &amp; "/\" &amp;0.1 &amp; "/\" &amp; E287</f>
        <v>/\83/\7/\0.1/\24.8</v>
      </c>
      <c r="D293" s="80" t="s">
        <v>821</v>
      </c>
      <c r="F293" s="76" t="str">
        <f ca="1">[1]!alpha_ans($G$293)</f>
        <v>C</v>
      </c>
      <c r="G293" s="79" t="str">
        <f ca="1" xml:space="preserve"> "/\" &amp;RANDBETWEEN( 1,5) &amp; "/\" &amp;RANDBETWEEN( 1,120) &amp; "/\" &amp;RANDBETWEEN( 1,6) &amp; "/\" &amp;RANDBETWEEN( 1,2) &amp; "/\" &amp; E287 &amp; "/\" &amp; "Mask" &amp; "/\" &amp; "Mask" &amp; "/\" &amp; F287 &amp; "/\" &amp; F288</f>
        <v>/\3/\115/\6/\2/\24.8/\Mask/\Mask/\overvalued/\undervalued</v>
      </c>
      <c r="H293" s="80" t="s">
        <v>823</v>
      </c>
    </row>
    <row r="294" spans="1:9" ht="16" thickTop="1" x14ac:dyDescent="0.35">
      <c r="B294" s="129">
        <f ca="1">[1]!stdnum_A($C$293)</f>
        <v>33.008800000000008</v>
      </c>
      <c r="C294" s="82"/>
      <c r="D294" s="77"/>
      <c r="F294" s="129">
        <f ca="1">[1]!onepair_A($G$293)</f>
        <v>18.7523629489603</v>
      </c>
      <c r="G294" s="82" t="str">
        <f ca="1">[1]!onepair_A2($G$293)</f>
        <v>undervalued</v>
      </c>
      <c r="H294" s="77"/>
    </row>
    <row r="295" spans="1:9" x14ac:dyDescent="0.35">
      <c r="B295" s="129">
        <f ca="1">[1]!stdnum_B($C$293)</f>
        <v>30.008000000000006</v>
      </c>
      <c r="C295" s="82"/>
      <c r="D295" s="77"/>
      <c r="F295" s="129">
        <f ca="1">[1]!onepair_B($G$293)</f>
        <v>18.7523629489603</v>
      </c>
      <c r="G295" s="82" t="str">
        <f ca="1">[1]!onepair_B2($G$293)</f>
        <v>overvalued</v>
      </c>
      <c r="H295" s="77"/>
    </row>
    <row r="296" spans="1:9" x14ac:dyDescent="0.35">
      <c r="B296" s="129">
        <f ca="1">[1]!stdnum_C($C$293)</f>
        <v>36.309680000000014</v>
      </c>
      <c r="C296" s="82"/>
      <c r="D296" s="77"/>
      <c r="F296" s="129">
        <f ca="1">[1]!onepair_C($G$293)</f>
        <v>24.8</v>
      </c>
      <c r="G296" s="82" t="str">
        <f ca="1">[1]!onepair_C2($G$293)</f>
        <v>overvalued</v>
      </c>
      <c r="H296" s="77"/>
    </row>
    <row r="297" spans="1:9" x14ac:dyDescent="0.35">
      <c r="B297" s="129">
        <f ca="1">[1]!stdnum_D($C$293)</f>
        <v>24.8</v>
      </c>
      <c r="C297" s="82"/>
      <c r="D297" s="77"/>
      <c r="F297" s="129">
        <f ca="1">[1]!onepair_D($G$293)</f>
        <v>21.565217391304401</v>
      </c>
      <c r="G297" s="82" t="str">
        <f ca="1">[1]!onepair_D2($G$293)</f>
        <v>overvalued</v>
      </c>
      <c r="H297" s="77"/>
    </row>
    <row r="298" spans="1:9" ht="16" thickBot="1" x14ac:dyDescent="0.4">
      <c r="B298" s="130">
        <f ca="1">[1]!stdnum_E($C$293)</f>
        <v>27.280000000000005</v>
      </c>
      <c r="C298" s="84"/>
      <c r="D298" s="78"/>
      <c r="F298" s="130">
        <f ca="1">[1]!onepair_E($G$293)</f>
        <v>21.565217391304401</v>
      </c>
      <c r="G298" s="84" t="str">
        <f ca="1">[1]!onepair_E2($G$293)</f>
        <v>undervalued</v>
      </c>
      <c r="H298" s="78"/>
    </row>
    <row r="299" spans="1:9" ht="16" thickTop="1" x14ac:dyDescent="0.35"/>
    <row r="301" spans="1:9" x14ac:dyDescent="0.35">
      <c r="A301" s="88" t="s">
        <v>3021</v>
      </c>
    </row>
    <row r="302" spans="1:9" x14ac:dyDescent="0.35">
      <c r="A302" s="20">
        <f ca="1">RANDBETWEEN(10,25)*100</f>
        <v>1300</v>
      </c>
      <c r="B302" s="62" t="s">
        <v>1114</v>
      </c>
      <c r="E302" s="20">
        <f ca="1">A302+A303</f>
        <v>4000</v>
      </c>
      <c r="F302" s="62" t="s">
        <v>2439</v>
      </c>
      <c r="H302" s="326">
        <f ca="1">E306</f>
        <v>4.6352471304080183</v>
      </c>
      <c r="I302" s="326" t="str">
        <f ca="1">IF(E306&gt;E307,"undervalued","overvalued")</f>
        <v>undervalued</v>
      </c>
    </row>
    <row r="303" spans="1:9" x14ac:dyDescent="0.35">
      <c r="A303" s="20">
        <f ca="1">RANDBETWEEN(10,40)*100</f>
        <v>2700</v>
      </c>
      <c r="B303" s="62" t="s">
        <v>2235</v>
      </c>
      <c r="E303" s="26">
        <f ca="1">A305*A306*A307</f>
        <v>80.64</v>
      </c>
      <c r="F303" s="62" t="s">
        <v>908</v>
      </c>
      <c r="H303" s="187"/>
      <c r="I303" s="326" t="str">
        <f ca="1">IF(I302="undervalued","overvalued","undervalued")</f>
        <v>overvalued</v>
      </c>
    </row>
    <row r="304" spans="1:9" x14ac:dyDescent="0.35">
      <c r="A304" s="4">
        <f ca="1">RANDBETWEEN(10,25)*10</f>
        <v>220</v>
      </c>
      <c r="B304" s="62" t="s">
        <v>2236</v>
      </c>
      <c r="E304" s="26">
        <f ca="1">A305*A306*(1-A307)</f>
        <v>53.760000000000005</v>
      </c>
      <c r="F304" s="62" t="s">
        <v>3445</v>
      </c>
    </row>
    <row r="305" spans="1:16" x14ac:dyDescent="0.35">
      <c r="A305" s="20">
        <f ca="1">(A302+A303)*RANDBETWEEN(20,35)/10</f>
        <v>8400</v>
      </c>
      <c r="B305" s="62" t="s">
        <v>2862</v>
      </c>
      <c r="E305" s="19">
        <f ca="1">A305*A306*(1-A307)*(1+A302/A303)/(E302-A305*A306*(1-A307)*(1+A302/A303))</f>
        <v>2.0315617631053873E-2</v>
      </c>
      <c r="F305" s="62" t="s">
        <v>1609</v>
      </c>
    </row>
    <row r="306" spans="1:16" x14ac:dyDescent="0.35">
      <c r="A306" s="19">
        <f ca="1">RANDBETWEEN(15,40)/1000</f>
        <v>1.6E-2</v>
      </c>
      <c r="B306" s="62" t="s">
        <v>357</v>
      </c>
      <c r="E306" s="26">
        <f ca="1">IF(E305&lt;A309,(E303/A304)*(1+E305)/(A309-E305),"#RECALCULATE")</f>
        <v>4.6352471304080183</v>
      </c>
      <c r="F306" s="62" t="s">
        <v>2620</v>
      </c>
    </row>
    <row r="307" spans="1:16" x14ac:dyDescent="0.35">
      <c r="A307" s="252">
        <f ca="1">5*RANDBETWEEN(4,12)/100</f>
        <v>0.6</v>
      </c>
      <c r="B307" s="62" t="s">
        <v>2237</v>
      </c>
      <c r="E307" s="26">
        <f ca="1">A308*A305*A306/A304</f>
        <v>3.5432727272727274</v>
      </c>
      <c r="F307" s="62" t="s">
        <v>2328</v>
      </c>
      <c r="G307" s="181">
        <f ca="1">(IF(RANDBETWEEN(0,1)=0,1/1.3,1.3))*E306</f>
        <v>3.5655747156984754</v>
      </c>
    </row>
    <row r="308" spans="1:16" x14ac:dyDescent="0.35">
      <c r="A308" s="94">
        <f ca="1">ROUND(G307/(A305*A306/A304),1)</f>
        <v>5.8</v>
      </c>
      <c r="B308" s="62" t="s">
        <v>2238</v>
      </c>
      <c r="E308" s="26">
        <f ca="1">ROUND(E303*(1+E305)/A304,2)</f>
        <v>0.37</v>
      </c>
      <c r="F308" s="62" t="s">
        <v>2908</v>
      </c>
    </row>
    <row r="309" spans="1:16" x14ac:dyDescent="0.35">
      <c r="A309" s="7">
        <f ca="1">ROUND(E305+RANDBETWEEN(40,90)/1000,3)</f>
        <v>0.10100000000000001</v>
      </c>
      <c r="B309" s="62" t="s">
        <v>2239</v>
      </c>
      <c r="E309" s="26">
        <f ca="1">ROUND(E306*(1+E305),2)</f>
        <v>4.7300000000000004</v>
      </c>
      <c r="F309" s="62" t="s">
        <v>2909</v>
      </c>
    </row>
    <row r="310" spans="1:16" x14ac:dyDescent="0.35">
      <c r="E310" s="181">
        <f ca="1">E308+E309</f>
        <v>5.1000000000000005</v>
      </c>
      <c r="F310" s="62" t="s">
        <v>2910</v>
      </c>
    </row>
    <row r="311" spans="1:16" x14ac:dyDescent="0.35">
      <c r="E311" s="7">
        <f ca="1">IF(ABS(E310/E307-1)&lt;0.1,"#RECALCULATE",E310/E307-1)</f>
        <v>0.43934729064039413</v>
      </c>
      <c r="F311" s="2" t="s">
        <v>2911</v>
      </c>
    </row>
    <row r="313" spans="1:16" ht="16" thickBot="1" x14ac:dyDescent="0.4">
      <c r="B313" s="88" t="s">
        <v>3020</v>
      </c>
      <c r="F313" s="120" t="s">
        <v>2607</v>
      </c>
      <c r="J313" s="88" t="s">
        <v>423</v>
      </c>
      <c r="N313" s="120" t="s">
        <v>2117</v>
      </c>
    </row>
    <row r="314" spans="1:16" ht="16.5" thickTop="1" thickBot="1" x14ac:dyDescent="0.4">
      <c r="B314" s="76" t="str">
        <f ca="1">[1]!std_ans($C$314)</f>
        <v>A</v>
      </c>
      <c r="C314" s="79" t="str">
        <f ca="1" xml:space="preserve"> "/\" &amp;RANDBETWEEN( 1,120) &amp; "/\" &amp;RANDBETWEEN( 1,120) &amp; "/\" &amp;0.1 &amp; "/\" &amp; E306</f>
        <v>/\11/\92/\0.1/\4.63524713040802</v>
      </c>
      <c r="D314" s="80" t="s">
        <v>3022</v>
      </c>
      <c r="F314" s="76" t="str">
        <f ca="1">[1]!alpha_ans($G$314)</f>
        <v>E</v>
      </c>
      <c r="G314" s="79" t="str">
        <f ca="1" xml:space="preserve"> "/\" &amp;RANDBETWEEN( 1,5) &amp; "/\" &amp;RANDBETWEEN( 1,120) &amp; "/\" &amp;RANDBETWEEN( 1,6) &amp; "/\" &amp;RANDBETWEEN( 1,2) &amp; "/\" &amp; H302 &amp; "/\" &amp; "Mask" &amp; "/\" &amp; "Mask" &amp; "/\" &amp; I302 &amp; "/\" &amp; I303</f>
        <v>/\5/\75/\5/\1/\4.63524713040802/\Mask/\Mask/\undervalued/\overvalued</v>
      </c>
      <c r="H314" s="80" t="s">
        <v>2608</v>
      </c>
      <c r="J314" s="76" t="str">
        <f ca="1">[1]!std_ans($K$314)</f>
        <v>E</v>
      </c>
      <c r="K314" s="79" t="str">
        <f ca="1" xml:space="preserve"> "/\" &amp;RANDBETWEEN( 1,120) &amp; "/\" &amp;RANDBETWEEN( 1,120) &amp; "/\" &amp;0.1 &amp; "/\" &amp; E309</f>
        <v>/\66/\87/\0.1/\4.73</v>
      </c>
      <c r="L314" s="80" t="s">
        <v>424</v>
      </c>
      <c r="N314" s="76" t="str">
        <f ca="1">[1]!std_ans($O$314)</f>
        <v>A</v>
      </c>
      <c r="O314" s="79" t="str">
        <f ca="1" xml:space="preserve"> "/\" &amp;RANDBETWEEN( 1,120) &amp; "/\" &amp;RANDBETWEEN( 1,120) &amp; "/\" &amp; 0.15 &amp; "/\" &amp; E311</f>
        <v>/\15/\41/\0.15/\0.439347290640394</v>
      </c>
      <c r="P314" s="80" t="s">
        <v>2118</v>
      </c>
    </row>
    <row r="315" spans="1:16" ht="16" thickTop="1" x14ac:dyDescent="0.35">
      <c r="B315" s="129">
        <f ca="1">[1]!stdnum_A($C$314)</f>
        <v>4.6352471304080201</v>
      </c>
      <c r="C315" s="82"/>
      <c r="D315" s="77"/>
      <c r="F315" s="129">
        <f ca="1">[1]!onepair_A($G$314)</f>
        <v>4.0306496786156698</v>
      </c>
      <c r="G315" s="82" t="str">
        <f ca="1">[1]!onepair_A2($G$314)</f>
        <v>undervalued</v>
      </c>
      <c r="H315" s="77"/>
      <c r="J315" s="129">
        <f ca="1">[1]!stdnum_A($K$314)</f>
        <v>3.9090909090909092</v>
      </c>
      <c r="K315" s="82"/>
      <c r="L315" s="77"/>
      <c r="N315" s="112">
        <f ca="1">[1]!stdnum_A($O$314)</f>
        <v>0.43934729064039402</v>
      </c>
      <c r="O315" s="82"/>
      <c r="P315" s="77"/>
    </row>
    <row r="316" spans="1:16" x14ac:dyDescent="0.35">
      <c r="B316" s="129">
        <f ca="1">[1]!stdnum_B($C$314)</f>
        <v>3.48252977491211</v>
      </c>
      <c r="C316" s="82"/>
      <c r="D316" s="77"/>
      <c r="F316" s="129">
        <f ca="1">[1]!onepair_B($G$314)</f>
        <v>4.6352471304080201</v>
      </c>
      <c r="G316" s="82" t="str">
        <f ca="1">[1]!onepair_B2($G$314)</f>
        <v>overvalued</v>
      </c>
      <c r="H316" s="77"/>
      <c r="J316" s="129">
        <f ca="1">[1]!stdnum_B($K$314)</f>
        <v>3.5537190082644621</v>
      </c>
      <c r="K316" s="82"/>
      <c r="L316" s="77"/>
      <c r="N316" s="112">
        <f ca="1">[1]!stdnum_B($O$314)</f>
        <v>0.38204112229599485</v>
      </c>
      <c r="O316" s="82"/>
      <c r="P316" s="77"/>
    </row>
    <row r="317" spans="1:16" x14ac:dyDescent="0.35">
      <c r="B317" s="129">
        <f ca="1">[1]!stdnum_C($C$314)</f>
        <v>3.830782752403322</v>
      </c>
      <c r="C317" s="82"/>
      <c r="D317" s="77"/>
      <c r="F317" s="129">
        <f ca="1">[1]!onepair_C($G$314)</f>
        <v>3.5049127640136302</v>
      </c>
      <c r="G317" s="82" t="str">
        <f ca="1">[1]!onepair_C2($G$314)</f>
        <v>overvalued</v>
      </c>
      <c r="H317" s="77"/>
      <c r="J317" s="129">
        <f ca="1">[1]!stdnum_C($K$314)</f>
        <v>5.2030000000000012</v>
      </c>
      <c r="K317" s="82"/>
      <c r="L317" s="77"/>
      <c r="N317" s="112">
        <f ca="1">[1]!stdnum_C($O$314)</f>
        <v>0.66819231065270912</v>
      </c>
      <c r="O317" s="82"/>
      <c r="P317" s="77"/>
    </row>
    <row r="318" spans="1:16" x14ac:dyDescent="0.35">
      <c r="B318" s="129">
        <f ca="1">[1]!stdnum_D($C$314)</f>
        <v>5.0987718434488221</v>
      </c>
      <c r="C318" s="82"/>
      <c r="D318" s="77"/>
      <c r="F318" s="129">
        <f ca="1">[1]!onepair_D($G$314)</f>
        <v>3.5049127640136302</v>
      </c>
      <c r="G318" s="82" t="str">
        <f ca="1">[1]!onepair_D2($G$314)</f>
        <v>undervalued</v>
      </c>
      <c r="H318" s="77"/>
      <c r="J318" s="129">
        <f ca="1">[1]!stdnum_D($K$314)</f>
        <v>4.3</v>
      </c>
      <c r="K318" s="82"/>
      <c r="L318" s="77"/>
      <c r="N318" s="112">
        <f ca="1">[1]!stdnum_D($O$314)</f>
        <v>0.58103679187192103</v>
      </c>
      <c r="O318" s="82"/>
      <c r="P318" s="77"/>
    </row>
    <row r="319" spans="1:16" ht="16" thickBot="1" x14ac:dyDescent="0.4">
      <c r="B319" s="130">
        <f ca="1">[1]!stdnum_E($C$314)</f>
        <v>4.2138610276436541</v>
      </c>
      <c r="C319" s="84"/>
      <c r="D319" s="78"/>
      <c r="F319" s="130">
        <f ca="1">[1]!onepair_E($G$314)</f>
        <v>4.6352471304080201</v>
      </c>
      <c r="G319" s="84" t="str">
        <f ca="1">[1]!onepair_E2($G$314)</f>
        <v>undervalued</v>
      </c>
      <c r="H319" s="78"/>
      <c r="J319" s="130">
        <f ca="1">[1]!stdnum_E($K$314)</f>
        <v>4.7300000000000004</v>
      </c>
      <c r="K319" s="84"/>
      <c r="L319" s="78"/>
      <c r="N319" s="113">
        <f ca="1">[1]!stdnum_E($O$314)</f>
        <v>0.50524938423645305</v>
      </c>
      <c r="O319" s="84"/>
      <c r="P319" s="78"/>
    </row>
    <row r="320" spans="1:16" ht="16" thickTop="1" x14ac:dyDescent="0.35"/>
    <row r="322" spans="1:10" x14ac:dyDescent="0.35">
      <c r="A322" s="88" t="s">
        <v>2827</v>
      </c>
    </row>
    <row r="323" spans="1:10" x14ac:dyDescent="0.35">
      <c r="A323" s="7">
        <f ca="1">ROUND(D326+RANDBETWEEN(30,100)/1000,3)</f>
        <v>9.0999999999999998E-2</v>
      </c>
      <c r="B323" s="2" t="s">
        <v>3244</v>
      </c>
      <c r="D323" s="27">
        <f ca="1">D329*(1+RANDBETWEEN(16,25)/100)^(IF(RANDBETWEEN(0,1)=0,1,-1))</f>
        <v>48.97146789331682</v>
      </c>
      <c r="E323" s="2" t="s">
        <v>2839</v>
      </c>
      <c r="I323" s="4" t="s">
        <v>2820</v>
      </c>
      <c r="J323" s="4" t="s">
        <v>2821</v>
      </c>
    </row>
    <row r="324" spans="1:10" x14ac:dyDescent="0.35">
      <c r="A324" s="94">
        <f ca="1">D323/(A326/A325)</f>
        <v>11.461407379286916</v>
      </c>
      <c r="B324" s="2" t="s">
        <v>2810</v>
      </c>
      <c r="D324" s="15">
        <f ca="1">RANDBETWEEN(60,120)/1000</f>
        <v>7.2999999999999995E-2</v>
      </c>
      <c r="E324" s="2" t="s">
        <v>2813</v>
      </c>
      <c r="G324" s="181">
        <f ca="1">A326</f>
        <v>2.35</v>
      </c>
      <c r="H324" s="2" t="s">
        <v>2818</v>
      </c>
      <c r="I324" s="2">
        <f ca="1">LN(G324)</f>
        <v>0.85441532815606758</v>
      </c>
      <c r="J324" s="2">
        <v>0</v>
      </c>
    </row>
    <row r="325" spans="1:10" x14ac:dyDescent="0.35">
      <c r="A325" s="252">
        <f ca="1">5*RANDBETWEEN(4,12)/100</f>
        <v>0.55000000000000004</v>
      </c>
      <c r="B325" s="2" t="s">
        <v>2811</v>
      </c>
      <c r="D325" s="29">
        <f ca="1">SLOPE(I324:I328,J324:J328)</f>
        <v>3.2626659436881922E-2</v>
      </c>
      <c r="E325" s="2" t="s">
        <v>2822</v>
      </c>
      <c r="G325" s="26">
        <f ca="1">ROUND((1+RANDBETWEEN(8,13)/100)^(IF(RANDBETWEEN(0,1)=0,1,-1))*A326/(1+D324),2)</f>
        <v>1.97</v>
      </c>
      <c r="H325" s="2" t="s">
        <v>2814</v>
      </c>
      <c r="I325" s="2">
        <f ca="1">LN(G325)</f>
        <v>0.67803354274989713</v>
      </c>
      <c r="J325" s="2">
        <v>-1</v>
      </c>
    </row>
    <row r="326" spans="1:10" x14ac:dyDescent="0.35">
      <c r="A326" s="26">
        <f ca="1">5*RANDBETWEEN(24,96)/100</f>
        <v>2.35</v>
      </c>
      <c r="B326" s="2" t="s">
        <v>2812</v>
      </c>
      <c r="D326" s="29">
        <f ca="1">EXP(D325)-1</f>
        <v>3.3164744921789557E-2</v>
      </c>
      <c r="E326" s="2" t="s">
        <v>2819</v>
      </c>
      <c r="G326" s="26">
        <f ca="1">ROUND((1+RANDBETWEEN(3,7)/100)^(IF(RANDBETWEEN(0,1)=0,1,-1))*A326/(1+D324)^2,2)</f>
        <v>2.16</v>
      </c>
      <c r="H326" s="2" t="s">
        <v>2815</v>
      </c>
      <c r="I326" s="2">
        <f ca="1">LN(G326)</f>
        <v>0.77010822169607374</v>
      </c>
      <c r="J326" s="2">
        <v>-2</v>
      </c>
    </row>
    <row r="327" spans="1:10" x14ac:dyDescent="0.35">
      <c r="D327" s="255">
        <f ca="1">INTERCEPT(I324:I328,J324:J328)</f>
        <v>0.79334306177251612</v>
      </c>
      <c r="E327" s="2" t="s">
        <v>2825</v>
      </c>
      <c r="G327" s="26">
        <f ca="1">ROUND((IF(RANDBETWEEN(0,1)=0,1/1.03,1.03))*A326/(1+D324)^3,2)</f>
        <v>1.85</v>
      </c>
      <c r="H327" s="2" t="s">
        <v>2816</v>
      </c>
      <c r="I327" s="2">
        <f ca="1">LN(G327)</f>
        <v>0.61518563909023349</v>
      </c>
      <c r="J327" s="2">
        <v>-3</v>
      </c>
    </row>
    <row r="328" spans="1:10" x14ac:dyDescent="0.35">
      <c r="D328" s="13">
        <f ca="1">EXP(D327+D325*(J324+1))</f>
        <v>2.2840946267454605</v>
      </c>
      <c r="E328" s="2" t="s">
        <v>2824</v>
      </c>
      <c r="G328" s="26">
        <f ca="1">ROUND((1+RANDBETWEEN(14,17)/100)^(IF(RANDBETWEEN(0,1)=0,1,-1))*A326/(1+D324)^4,2)</f>
        <v>2.06</v>
      </c>
      <c r="H328" s="2" t="s">
        <v>2817</v>
      </c>
      <c r="I328" s="2">
        <f ca="1">LN(G328)</f>
        <v>0.72270598280148979</v>
      </c>
      <c r="J328" s="2">
        <v>-4</v>
      </c>
    </row>
    <row r="329" spans="1:10" x14ac:dyDescent="0.35">
      <c r="D329" s="13">
        <f ca="1">D328/(A323-D326)</f>
        <v>39.493119268803888</v>
      </c>
      <c r="E329" s="2" t="s">
        <v>2823</v>
      </c>
    </row>
    <row r="330" spans="1:10" ht="16" thickBot="1" x14ac:dyDescent="0.4"/>
    <row r="331" spans="1:10" ht="16.5" thickTop="1" thickBot="1" x14ac:dyDescent="0.4">
      <c r="B331" s="76" t="str">
        <f ca="1">[1]!alpha_ans($C$331)</f>
        <v>D</v>
      </c>
      <c r="C331" s="79" t="str">
        <f ca="1" xml:space="preserve"> "/\" &amp;RANDBETWEEN( 1,5) &amp; "/\" &amp;RANDBETWEEN( 1,120) &amp; "/\" &amp;RANDBETWEEN( 1,6) &amp; "/\" &amp;RANDBETWEEN( 1,2) &amp; "/\" &amp; D329 &amp; "/\" &amp; "Mask" &amp; "/\" &amp; "Mask" &amp; "/\" &amp; D326 &amp; "/\" &amp; "Mask"</f>
        <v>/\4/\118/\1/\2/\39.4931192688039/\Mask/\Mask/\0.0331647449217896/\Mask</v>
      </c>
      <c r="D331" s="80" t="s">
        <v>2826</v>
      </c>
    </row>
    <row r="332" spans="1:10" ht="16" thickTop="1" x14ac:dyDescent="0.35">
      <c r="B332" s="96">
        <f ca="1">[1]!onepair_A($C$331)</f>
        <v>52.229650232993201</v>
      </c>
      <c r="C332" s="242">
        <f ca="1">[1]!onepair_A2($C$331)</f>
        <v>3.8139456660058003E-2</v>
      </c>
      <c r="D332" s="77"/>
    </row>
    <row r="333" spans="1:10" x14ac:dyDescent="0.35">
      <c r="B333" s="96">
        <f ca="1">[1]!onepair_B($C$331)</f>
        <v>52.229650232993201</v>
      </c>
      <c r="C333" s="242">
        <f ca="1">[1]!onepair_B2($C$331)</f>
        <v>3.3164744921789599E-2</v>
      </c>
      <c r="D333" s="77"/>
    </row>
    <row r="334" spans="1:10" x14ac:dyDescent="0.35">
      <c r="B334" s="96">
        <f ca="1">[1]!onepair_C($C$331)</f>
        <v>45.417087159124499</v>
      </c>
      <c r="C334" s="242">
        <f ca="1">[1]!onepair_C2($C$331)</f>
        <v>3.3164744921789599E-2</v>
      </c>
      <c r="D334" s="77"/>
    </row>
    <row r="335" spans="1:10" x14ac:dyDescent="0.35">
      <c r="B335" s="96">
        <f ca="1">[1]!onepair_D($C$331)</f>
        <v>39.493119268803902</v>
      </c>
      <c r="C335" s="242">
        <f ca="1">[1]!onepair_D2($C$331)</f>
        <v>3.3164744921789599E-2</v>
      </c>
      <c r="D335" s="77"/>
    </row>
    <row r="336" spans="1:10" ht="16" thickBot="1" x14ac:dyDescent="0.4">
      <c r="B336" s="97">
        <f ca="1">[1]!onepair_E($C$331)</f>
        <v>39.493119268803902</v>
      </c>
      <c r="C336" s="299">
        <f ca="1">[1]!onepair_E2($C$331)</f>
        <v>3.8139456660058003E-2</v>
      </c>
      <c r="D336" s="78"/>
    </row>
    <row r="337" spans="1:8" ht="16" thickTop="1" x14ac:dyDescent="0.35"/>
    <row r="339" spans="1:8" x14ac:dyDescent="0.35">
      <c r="A339" s="88" t="s">
        <v>679</v>
      </c>
    </row>
    <row r="340" spans="1:8" x14ac:dyDescent="0.35">
      <c r="A340" s="13">
        <f ca="1">RANDBETWEEN(32,90)/100</f>
        <v>0.66</v>
      </c>
      <c r="B340" s="2" t="s">
        <v>678</v>
      </c>
      <c r="E340" s="14">
        <f ca="1">A340/(A341-A340)</f>
        <v>0.12476370510396977</v>
      </c>
      <c r="F340" s="2" t="s">
        <v>682</v>
      </c>
      <c r="G340" s="14">
        <f ca="1">E341/E342</f>
        <v>3.923594320130127E-2</v>
      </c>
    </row>
    <row r="341" spans="1:8" x14ac:dyDescent="0.35">
      <c r="A341" s="13">
        <f ca="1">ROUND(10*A340*(1+RANDBETWEEN(8,13)/100)^(IF(RANDBETWEEN(0,1)=0,1,-1)),2)</f>
        <v>5.95</v>
      </c>
      <c r="B341" s="2" t="s">
        <v>2818</v>
      </c>
      <c r="E341" s="13">
        <f ca="1">A341*(1+E340)</f>
        <v>6.6923440453686212</v>
      </c>
      <c r="F341" s="2" t="s">
        <v>2824</v>
      </c>
    </row>
    <row r="342" spans="1:8" x14ac:dyDescent="0.35">
      <c r="A342" s="35">
        <f ca="1">RANDBETWEEN(80,180)/10</f>
        <v>17.2</v>
      </c>
      <c r="B342" s="2" t="s">
        <v>2810</v>
      </c>
      <c r="E342" s="27">
        <f ca="1">A342*A341/A343</f>
        <v>170.56666666666669</v>
      </c>
      <c r="F342" s="2" t="s">
        <v>680</v>
      </c>
    </row>
    <row r="343" spans="1:8" x14ac:dyDescent="0.35">
      <c r="A343" s="12">
        <f ca="1">5*RANDBETWEEN(5,16)/100</f>
        <v>0.6</v>
      </c>
      <c r="B343" s="2" t="s">
        <v>2811</v>
      </c>
      <c r="E343" s="14">
        <f ca="1">E341/E342+E340</f>
        <v>0.16399964830527103</v>
      </c>
      <c r="F343" s="2" t="s">
        <v>1856</v>
      </c>
    </row>
    <row r="344" spans="1:8" ht="16" thickBot="1" x14ac:dyDescent="0.4"/>
    <row r="345" spans="1:8" ht="16.5" thickTop="1" thickBot="1" x14ac:dyDescent="0.4">
      <c r="B345" s="76" t="str">
        <f ca="1">[1]!std_ans($C$345)</f>
        <v>D</v>
      </c>
      <c r="C345" s="79" t="str">
        <f ca="1" xml:space="preserve"> "/\" &amp;RANDBETWEEN( 1,120) &amp; "/\" &amp;RANDBETWEEN( 1,120) &amp; "/\" &amp;0.1 &amp; "/\" &amp; E343</f>
        <v>/\45/\112/\0.1/\0.163999648305271</v>
      </c>
      <c r="D345" s="80" t="s">
        <v>681</v>
      </c>
      <c r="F345" s="76" t="str">
        <f ca="1">[1]!alpha_ans($G$345)</f>
        <v>E</v>
      </c>
      <c r="G345" s="79" t="str">
        <f ca="1" xml:space="preserve"> "/\" &amp;RANDBETWEEN( 1,5) &amp; "/\" &amp;RANDBETWEEN( 1,120) &amp; "/\" &amp;RANDBETWEEN( 1,6) &amp; "/\" &amp;RANDBETWEEN( 1,2) &amp; "/\" &amp; G340 &amp; "/\" &amp; "Mask" &amp; "/\" &amp; "Mask" &amp; "/\" &amp; E340 &amp; "/\" &amp; "Mask"</f>
        <v>/\5/\112/\4/\1/\0.0392359432013013/\Mask/\Mask/\0.12476370510397/\Mask</v>
      </c>
      <c r="H345" s="80" t="s">
        <v>683</v>
      </c>
    </row>
    <row r="346" spans="1:8" ht="16" thickTop="1" x14ac:dyDescent="0.35">
      <c r="B346" s="92">
        <f ca="1">[1]!stdnum_A($C$345)</f>
        <v>0.13553689942584379</v>
      </c>
      <c r="C346" s="82"/>
      <c r="D346" s="77"/>
      <c r="F346" s="92">
        <f ca="1">[1]!onepair_A($G$345)</f>
        <v>3.4118211479392403E-2</v>
      </c>
      <c r="G346" s="242">
        <f ca="1">[1]!onepair_A2($G$345)</f>
        <v>0.108490178351278</v>
      </c>
      <c r="H346" s="77"/>
    </row>
    <row r="347" spans="1:8" x14ac:dyDescent="0.35">
      <c r="B347" s="92">
        <f ca="1">[1]!stdnum_B($C$345)</f>
        <v>0.11201396646763948</v>
      </c>
      <c r="C347" s="82"/>
      <c r="D347" s="77"/>
      <c r="F347" s="92">
        <f ca="1">[1]!onepair_B($G$345)</f>
        <v>4.5121334681496497E-2</v>
      </c>
      <c r="G347" s="242">
        <f ca="1">[1]!onepair_B2($G$345)</f>
        <v>0.108490178351278</v>
      </c>
      <c r="H347" s="77"/>
    </row>
    <row r="348" spans="1:8" x14ac:dyDescent="0.35">
      <c r="B348" s="92">
        <f ca="1">[1]!stdnum_C($C$345)</f>
        <v>0.12321536311440343</v>
      </c>
      <c r="C348" s="82"/>
      <c r="D348" s="77"/>
      <c r="F348" s="92">
        <f ca="1">[1]!onepair_C($G$345)</f>
        <v>4.5121334681496497E-2</v>
      </c>
      <c r="G348" s="242">
        <f ca="1">[1]!onepair_C2($G$345)</f>
        <v>0.12476370510397</v>
      </c>
      <c r="H348" s="77"/>
    </row>
    <row r="349" spans="1:8" x14ac:dyDescent="0.35">
      <c r="B349" s="92">
        <f ca="1">[1]!stdnum_D($C$345)</f>
        <v>0.163999648305271</v>
      </c>
      <c r="C349" s="82"/>
      <c r="D349" s="77"/>
      <c r="F349" s="92">
        <f ca="1">[1]!onepair_D($G$345)</f>
        <v>3.4118211479392403E-2</v>
      </c>
      <c r="G349" s="242">
        <f ca="1">[1]!onepair_D2($G$345)</f>
        <v>0.12476370510397</v>
      </c>
      <c r="H349" s="77"/>
    </row>
    <row r="350" spans="1:8" ht="16" thickBot="1" x14ac:dyDescent="0.4">
      <c r="B350" s="93">
        <f ca="1">[1]!stdnum_E($C$345)</f>
        <v>0.14909058936842817</v>
      </c>
      <c r="C350" s="84"/>
      <c r="D350" s="78"/>
      <c r="F350" s="93">
        <f ca="1">[1]!onepair_E($G$345)</f>
        <v>3.9235943201301297E-2</v>
      </c>
      <c r="G350" s="299">
        <f ca="1">[1]!onepair_E2($G$345)</f>
        <v>0.12476370510397</v>
      </c>
      <c r="H350" s="78"/>
    </row>
    <row r="351" spans="1:8" ht="16" thickTop="1" x14ac:dyDescent="0.35"/>
    <row r="353" spans="1:7" x14ac:dyDescent="0.35">
      <c r="A353" s="88" t="s">
        <v>2466</v>
      </c>
    </row>
    <row r="354" spans="1:7" x14ac:dyDescent="0.35">
      <c r="A354" s="13">
        <f ca="1">RANDBETWEEN(12,90)/10</f>
        <v>2.1</v>
      </c>
      <c r="B354" s="2" t="s">
        <v>2818</v>
      </c>
      <c r="E354" s="13">
        <f ca="1">A354*(1+E355)/A356</f>
        <v>68.578125</v>
      </c>
      <c r="F354" s="2" t="s">
        <v>2468</v>
      </c>
    </row>
    <row r="355" spans="1:7" x14ac:dyDescent="0.35">
      <c r="A355" s="14">
        <f ca="1">A356+RANDBETWEEN(45,95)/1000</f>
        <v>7.6999999999999999E-2</v>
      </c>
      <c r="B355" s="2" t="s">
        <v>1856</v>
      </c>
      <c r="E355" s="15">
        <f ca="1">A355-A356</f>
        <v>4.4999999999999998E-2</v>
      </c>
      <c r="F355" s="2" t="s">
        <v>2469</v>
      </c>
    </row>
    <row r="356" spans="1:7" x14ac:dyDescent="0.35">
      <c r="A356" s="14">
        <f ca="1">RANDBETWEEN(25,65)/1000</f>
        <v>3.2000000000000001E-2</v>
      </c>
      <c r="B356" s="2" t="s">
        <v>2467</v>
      </c>
    </row>
    <row r="357" spans="1:7" ht="16" thickBot="1" x14ac:dyDescent="0.4">
      <c r="A357" s="12"/>
    </row>
    <row r="358" spans="1:7" ht="16.5" thickTop="1" thickBot="1" x14ac:dyDescent="0.4">
      <c r="B358" s="76" t="str">
        <f ca="1">[1]!std_ans($C$358)</f>
        <v>D</v>
      </c>
      <c r="C358" s="79" t="str">
        <f ca="1" xml:space="preserve"> "/\" &amp;RANDBETWEEN( 1,120) &amp; "/\" &amp;RANDBETWEEN( 1,120) &amp; "/\" &amp;0.1 &amp; "/\" &amp; E354</f>
        <v>/\71/\17/\0.1/\68.578125</v>
      </c>
      <c r="D358" s="80" t="s">
        <v>2470</v>
      </c>
    </row>
    <row r="359" spans="1:7" ht="16" thickTop="1" x14ac:dyDescent="0.35">
      <c r="B359" s="96">
        <f ca="1">[1]!stdnum_A($C$358)</f>
        <v>100.40523281250003</v>
      </c>
      <c r="C359" s="82"/>
      <c r="D359" s="77"/>
    </row>
    <row r="360" spans="1:7" x14ac:dyDescent="0.35">
      <c r="B360" s="96">
        <f ca="1">[1]!stdnum_B($C$358)</f>
        <v>82.979531250000008</v>
      </c>
      <c r="C360" s="82"/>
      <c r="D360" s="77"/>
    </row>
    <row r="361" spans="1:7" x14ac:dyDescent="0.35">
      <c r="B361" s="96">
        <f ca="1">[1]!stdnum_C($C$358)</f>
        <v>75.435937500000009</v>
      </c>
      <c r="C361" s="82"/>
      <c r="D361" s="77"/>
    </row>
    <row r="362" spans="1:7" x14ac:dyDescent="0.35">
      <c r="B362" s="96">
        <f ca="1">[1]!stdnum_D($C$358)</f>
        <v>68.578125</v>
      </c>
      <c r="C362" s="82"/>
      <c r="D362" s="77"/>
    </row>
    <row r="363" spans="1:7" ht="16" thickBot="1" x14ac:dyDescent="0.4">
      <c r="B363" s="97">
        <f ca="1">[1]!stdnum_E($C$358)</f>
        <v>91.277484375000029</v>
      </c>
      <c r="C363" s="84"/>
      <c r="D363" s="78"/>
    </row>
    <row r="364" spans="1:7" ht="16" thickTop="1" x14ac:dyDescent="0.35"/>
    <row r="366" spans="1:7" x14ac:dyDescent="0.35">
      <c r="A366" s="88" t="s">
        <v>2473</v>
      </c>
    </row>
    <row r="367" spans="1:7" x14ac:dyDescent="0.35">
      <c r="A367" s="13">
        <f ca="1">RANDBETWEEN(12,90)/10</f>
        <v>2.4</v>
      </c>
      <c r="B367" s="2" t="s">
        <v>2818</v>
      </c>
      <c r="E367" s="14">
        <f ca="1">(A367/A370)^(1/A368)-1</f>
        <v>2.6327791369625153E-2</v>
      </c>
      <c r="F367" s="2" t="s">
        <v>2469</v>
      </c>
      <c r="G367" s="14">
        <f ca="1">RANDBETWEEN(25,65)/1000</f>
        <v>2.5999999999999999E-2</v>
      </c>
    </row>
    <row r="368" spans="1:7" x14ac:dyDescent="0.35">
      <c r="A368" s="290">
        <f ca="1">RANDBETWEEN(3,6)</f>
        <v>3</v>
      </c>
      <c r="B368" s="2" t="s">
        <v>2471</v>
      </c>
      <c r="E368" s="15">
        <f ca="1">A369+E367</f>
        <v>6.3327791369625158E-2</v>
      </c>
      <c r="F368" s="2" t="s">
        <v>1856</v>
      </c>
    </row>
    <row r="369" spans="1:7" x14ac:dyDescent="0.35">
      <c r="A369" s="14">
        <f ca="1">RANDBETWEEN(25,65)/1000</f>
        <v>3.6999999999999998E-2</v>
      </c>
      <c r="B369" s="2" t="s">
        <v>2467</v>
      </c>
      <c r="E369" s="13">
        <f ca="1">A367*(1+E367)/A369</f>
        <v>66.572613494245957</v>
      </c>
      <c r="F369" s="2" t="s">
        <v>2823</v>
      </c>
    </row>
    <row r="370" spans="1:7" x14ac:dyDescent="0.35">
      <c r="A370" s="13">
        <f ca="1">ROUND(A367/(1+G367)^A368,2)</f>
        <v>2.2200000000000002</v>
      </c>
      <c r="B370" s="2" t="s">
        <v>2472</v>
      </c>
    </row>
    <row r="371" spans="1:7" ht="16" thickBot="1" x14ac:dyDescent="0.4"/>
    <row r="372" spans="1:7" ht="16.5" thickTop="1" thickBot="1" x14ac:dyDescent="0.4">
      <c r="B372" s="76" t="str">
        <f ca="1">[1]!alpha_ans($C$372)</f>
        <v>D</v>
      </c>
      <c r="C372" s="79" t="str">
        <f ca="1" xml:space="preserve"> "/\" &amp;RANDBETWEEN( 1,5) &amp; "/\" &amp;RANDBETWEEN( 1,120) &amp; "/\" &amp;RANDBETWEEN( 1,6) &amp; "/\" &amp;RANDBETWEEN( 1,2) &amp; "/\" &amp; E368 &amp; "/\" &amp; "Mask" &amp; "/\" &amp; "Mask" &amp; "/\" &amp; E369 &amp; "/\" &amp; "Mask"</f>
        <v>/\4/\107/\2/\2/\0.0633277913696252/\Mask/\Mask/\66.572613494246/\Mask</v>
      </c>
      <c r="D372" s="80" t="s">
        <v>2474</v>
      </c>
    </row>
    <row r="373" spans="1:7" ht="16" thickTop="1" x14ac:dyDescent="0.35">
      <c r="B373" s="92">
        <f ca="1">[1]!onepair_A($C$372)</f>
        <v>7.2826960075069003E-2</v>
      </c>
      <c r="C373" s="187">
        <f ca="1">[1]!onepair_A2($C$372)</f>
        <v>76.558505518382901</v>
      </c>
      <c r="D373" s="77"/>
    </row>
    <row r="374" spans="1:7" x14ac:dyDescent="0.35">
      <c r="B374" s="92">
        <f ca="1">[1]!onepair_B($C$372)</f>
        <v>8.3751004086329295E-2</v>
      </c>
      <c r="C374" s="187">
        <f ca="1">[1]!onepair_B2($C$372)</f>
        <v>66.572613494245999</v>
      </c>
      <c r="D374" s="77"/>
    </row>
    <row r="375" spans="1:7" x14ac:dyDescent="0.35">
      <c r="B375" s="92">
        <f ca="1">[1]!onepair_C($C$372)</f>
        <v>7.2826960075069003E-2</v>
      </c>
      <c r="C375" s="187">
        <f ca="1">[1]!onepair_C2($C$372)</f>
        <v>66.572613494245999</v>
      </c>
      <c r="D375" s="77"/>
    </row>
    <row r="376" spans="1:7" x14ac:dyDescent="0.35">
      <c r="B376" s="92">
        <f ca="1">[1]!onepair_D($C$372)</f>
        <v>6.33277913696252E-2</v>
      </c>
      <c r="C376" s="187">
        <f ca="1">[1]!onepair_D2($C$372)</f>
        <v>66.572613494245999</v>
      </c>
      <c r="D376" s="77"/>
    </row>
    <row r="377" spans="1:7" ht="16" thickBot="1" x14ac:dyDescent="0.4">
      <c r="B377" s="93">
        <f ca="1">[1]!onepair_E($C$372)</f>
        <v>8.3751004086329295E-2</v>
      </c>
      <c r="C377" s="334">
        <f ca="1">[1]!onepair_E2($C$372)</f>
        <v>76.558505518382901</v>
      </c>
      <c r="D377" s="78"/>
    </row>
    <row r="378" spans="1:7" ht="16" thickTop="1" x14ac:dyDescent="0.35"/>
    <row r="380" spans="1:7" x14ac:dyDescent="0.35">
      <c r="A380" s="88" t="s">
        <v>2475</v>
      </c>
    </row>
    <row r="381" spans="1:7" x14ac:dyDescent="0.35">
      <c r="A381" s="13">
        <f ca="1">RANDBETWEEN(32,90)/100</f>
        <v>0.62</v>
      </c>
      <c r="B381" s="2" t="s">
        <v>678</v>
      </c>
      <c r="E381" s="14">
        <f ca="1">A382*(1+E382)/A384+E382</f>
        <v>0.13602729630195776</v>
      </c>
      <c r="F381" s="2" t="s">
        <v>1856</v>
      </c>
      <c r="G381" s="14">
        <f ca="1">E382+RANDBETWEEN(25,65)/1000</f>
        <v>0.13602660406885758</v>
      </c>
    </row>
    <row r="382" spans="1:7" x14ac:dyDescent="0.35">
      <c r="A382" s="13">
        <f ca="1">ROUND(10*A381*(1+RANDBETWEEN(8,13)/100)^(IF(RANDBETWEEN(0,1)=0,1,-1)),2)</f>
        <v>7.01</v>
      </c>
      <c r="B382" s="2" t="s">
        <v>2818</v>
      </c>
      <c r="E382" s="14">
        <f ca="1">A381/(A382-A381)</f>
        <v>9.7026604068857589E-2</v>
      </c>
      <c r="F382" s="2" t="s">
        <v>2469</v>
      </c>
    </row>
    <row r="383" spans="1:7" x14ac:dyDescent="0.35">
      <c r="A383" s="14">
        <f ca="1">RANDBETWEEN(25,65)/1000</f>
        <v>3.9E-2</v>
      </c>
      <c r="B383" s="2" t="s">
        <v>1393</v>
      </c>
      <c r="E383" s="15">
        <f ca="1">E381-A383</f>
        <v>9.7027296301957749E-2</v>
      </c>
      <c r="F383" s="2" t="s">
        <v>2476</v>
      </c>
    </row>
    <row r="384" spans="1:7" x14ac:dyDescent="0.35">
      <c r="A384" s="13">
        <f ca="1">ROUND(A382*(1+E382)/(G381-E382),2)</f>
        <v>197.18</v>
      </c>
      <c r="B384" s="2" t="s">
        <v>680</v>
      </c>
    </row>
    <row r="385" spans="1:10" ht="16" thickBot="1" x14ac:dyDescent="0.4"/>
    <row r="386" spans="1:10" ht="16.5" thickTop="1" thickBot="1" x14ac:dyDescent="0.4">
      <c r="B386" s="76" t="str">
        <f ca="1">[1]!std_ans($C$386)</f>
        <v>C</v>
      </c>
      <c r="C386" s="79" t="str">
        <f ca="1" xml:space="preserve"> "/\" &amp;RANDBETWEEN( 1,120) &amp; "/\" &amp;RANDBETWEEN( 1,120) &amp; "/\" &amp;0.1 &amp; "/\" &amp; E383</f>
        <v>/\92/\24/\0.1/\0.0970272963019577</v>
      </c>
      <c r="D386" s="80" t="s">
        <v>2477</v>
      </c>
    </row>
    <row r="387" spans="1:10" ht="16" thickTop="1" x14ac:dyDescent="0.35">
      <c r="B387" s="92">
        <f ca="1">[1]!stdnum_A($C$386)</f>
        <v>0.11740302852536882</v>
      </c>
      <c r="C387" s="82"/>
      <c r="D387" s="77"/>
    </row>
    <row r="388" spans="1:10" x14ac:dyDescent="0.35">
      <c r="B388" s="92">
        <f ca="1">[1]!stdnum_B($C$386)</f>
        <v>0.10673002593215347</v>
      </c>
      <c r="C388" s="82"/>
      <c r="D388" s="77"/>
    </row>
    <row r="389" spans="1:10" x14ac:dyDescent="0.35">
      <c r="B389" s="92">
        <f ca="1">[1]!stdnum_C($C$386)</f>
        <v>9.7027296301957694E-2</v>
      </c>
      <c r="C389" s="82"/>
      <c r="D389" s="77"/>
    </row>
    <row r="390" spans="1:10" x14ac:dyDescent="0.35">
      <c r="B390" s="92">
        <f ca="1">[1]!stdnum_D($C$386)</f>
        <v>0.12914333137790573</v>
      </c>
      <c r="C390" s="82"/>
      <c r="D390" s="77"/>
    </row>
    <row r="391" spans="1:10" ht="16" thickBot="1" x14ac:dyDescent="0.4">
      <c r="B391" s="93">
        <f ca="1">[1]!stdnum_E($C$386)</f>
        <v>0.14205766451569629</v>
      </c>
      <c r="C391" s="84"/>
      <c r="D391" s="78"/>
    </row>
    <row r="392" spans="1:10" ht="16" thickTop="1" x14ac:dyDescent="0.35"/>
    <row r="394" spans="1:10" x14ac:dyDescent="0.35">
      <c r="A394" s="88" t="s">
        <v>2660</v>
      </c>
    </row>
    <row r="395" spans="1:10" x14ac:dyDescent="0.35">
      <c r="A395" s="7">
        <f ca="1">ROUND(D398+RANDBETWEEN(30,100)/1000,3)</f>
        <v>6.2E-2</v>
      </c>
      <c r="B395" s="2" t="s">
        <v>3244</v>
      </c>
      <c r="D395" s="27">
        <f ca="1">D401*(1+RANDBETWEEN(16,25)/100)^(IF(RANDBETWEEN(0,1)=0,1,-1))</f>
        <v>86.121922944275823</v>
      </c>
      <c r="E395" s="2" t="s">
        <v>2839</v>
      </c>
      <c r="I395" s="4" t="s">
        <v>2820</v>
      </c>
      <c r="J395" s="4" t="s">
        <v>2821</v>
      </c>
    </row>
    <row r="396" spans="1:10" x14ac:dyDescent="0.35">
      <c r="A396" s="94">
        <f ca="1">D395/(A398/A397)</f>
        <v>6.4997677693793081</v>
      </c>
      <c r="B396" s="2" t="s">
        <v>2810</v>
      </c>
      <c r="D396" s="15">
        <f ca="1">RANDBETWEEN(60,120)/1000</f>
        <v>7.0999999999999994E-2</v>
      </c>
      <c r="E396" s="2" t="s">
        <v>2813</v>
      </c>
      <c r="G396" s="181">
        <f ca="1">A398</f>
        <v>2.65</v>
      </c>
      <c r="H396" s="2" t="s">
        <v>2818</v>
      </c>
      <c r="I396" s="2">
        <f ca="1">LN(G396)</f>
        <v>0.97455963999813078</v>
      </c>
      <c r="J396" s="2">
        <v>0</v>
      </c>
    </row>
    <row r="397" spans="1:10" x14ac:dyDescent="0.35">
      <c r="A397" s="252">
        <f ca="1">5*RANDBETWEEN(4,12)/100</f>
        <v>0.2</v>
      </c>
      <c r="B397" s="2" t="s">
        <v>2811</v>
      </c>
      <c r="D397" s="29">
        <f ca="1">SLOPE(I396:I400,J396:J400)</f>
        <v>2.6284066360318426E-2</v>
      </c>
      <c r="E397" s="2" t="s">
        <v>2822</v>
      </c>
      <c r="G397" s="26">
        <f ca="1">ROUND((1+RANDBETWEEN(8,13)/100)^(IF(RANDBETWEEN(0,1)=0,1,-1))*A398/(1+D396),2)</f>
        <v>2.29</v>
      </c>
      <c r="H397" s="2" t="s">
        <v>2814</v>
      </c>
      <c r="I397" s="2">
        <f ca="1">LN(G397)</f>
        <v>0.82855181756614826</v>
      </c>
      <c r="J397" s="2">
        <v>-1</v>
      </c>
    </row>
    <row r="398" spans="1:10" x14ac:dyDescent="0.35">
      <c r="A398" s="26">
        <f ca="1">5*RANDBETWEEN(24,96)/100</f>
        <v>2.65</v>
      </c>
      <c r="B398" s="2" t="s">
        <v>2812</v>
      </c>
      <c r="D398" s="29">
        <f ca="1">EXP(D397)-1</f>
        <v>2.6632538824664875E-2</v>
      </c>
      <c r="E398" s="2" t="s">
        <v>2819</v>
      </c>
      <c r="G398" s="26">
        <f ca="1">ROUND((1+RANDBETWEEN(3,7)/100)^(IF(RANDBETWEEN(0,1)=0,1,-1))*A398/(1+D396)^2,2)</f>
        <v>2.4300000000000002</v>
      </c>
      <c r="H398" s="2" t="s">
        <v>2815</v>
      </c>
      <c r="I398" s="2">
        <f ca="1">LN(G398)</f>
        <v>0.88789125735245711</v>
      </c>
      <c r="J398" s="2">
        <v>-2</v>
      </c>
    </row>
    <row r="399" spans="1:10" x14ac:dyDescent="0.35">
      <c r="D399" s="255">
        <f ca="1">INTERCEPT(I396:I400,J396:J400)</f>
        <v>0.92200243868832543</v>
      </c>
      <c r="E399" s="2" t="s">
        <v>2825</v>
      </c>
      <c r="G399" s="26">
        <f ca="1">ROUND((IF(RANDBETWEEN(0,1)=0,1/1.03,1.03))*A398/(1+D396)^3,2)</f>
        <v>2.2200000000000002</v>
      </c>
      <c r="H399" s="2" t="s">
        <v>2816</v>
      </c>
      <c r="I399" s="2">
        <f ca="1">LN(G399)</f>
        <v>0.79750719588418817</v>
      </c>
      <c r="J399" s="2">
        <v>-3</v>
      </c>
    </row>
    <row r="400" spans="1:10" x14ac:dyDescent="0.35">
      <c r="A400" s="13">
        <f ca="1">EXP(D399+D397*(J396))</f>
        <v>2.5143201242800011</v>
      </c>
      <c r="B400" s="2" t="s">
        <v>2658</v>
      </c>
      <c r="D400" s="13">
        <f ca="1">EXP(D399+D397*(J396+1))</f>
        <v>2.5812828526075244</v>
      </c>
      <c r="E400" s="2" t="s">
        <v>2824</v>
      </c>
      <c r="G400" s="26">
        <f ca="1">ROUND((1+RANDBETWEEN(14,17)/100)^(IF(RANDBETWEEN(0,1)=0,1,-1))*A398/(1+D396)^4,2)</f>
        <v>2.36</v>
      </c>
      <c r="H400" s="2" t="s">
        <v>2817</v>
      </c>
      <c r="I400" s="2">
        <f ca="1">LN(G400)</f>
        <v>0.8586616190375187</v>
      </c>
      <c r="J400" s="2">
        <v>-4</v>
      </c>
    </row>
    <row r="401" spans="1:6" x14ac:dyDescent="0.35">
      <c r="A401" s="13">
        <f ca="1">EXP(D399+D397*(J396-1))</f>
        <v>2.4490945194066303</v>
      </c>
      <c r="B401" s="2" t="s">
        <v>2657</v>
      </c>
      <c r="D401" s="13">
        <f ca="1">D400/(A395-D398)</f>
        <v>72.984680461250704</v>
      </c>
      <c r="E401" s="2" t="s">
        <v>2823</v>
      </c>
    </row>
    <row r="403" spans="1:6" ht="16" thickBot="1" x14ac:dyDescent="0.4"/>
    <row r="404" spans="1:6" ht="16.5" thickTop="1" thickBot="1" x14ac:dyDescent="0.4">
      <c r="B404" s="76" t="str">
        <f ca="1">[1]!alpha_ans($C$404)</f>
        <v>B</v>
      </c>
      <c r="C404" s="79" t="str">
        <f ca="1" xml:space="preserve"> "/\" &amp;RANDBETWEEN( 1,5) &amp; "/\" &amp;RANDBETWEEN( 1,120) &amp; "/\" &amp;RANDBETWEEN( 1,6) &amp; "/\" &amp;RANDBETWEEN( 1,2) &amp; "/\" &amp; A401 &amp; "/\" &amp; "Mask" &amp; "/\" &amp; "Mask" &amp; "/\" &amp; A400 &amp; "/\" &amp; "Mask"</f>
        <v>/\2/\85/\3/\2/\2.44909451940663/\Mask/\Mask/\2.51432012428/\Mask</v>
      </c>
      <c r="D404" s="80" t="s">
        <v>2659</v>
      </c>
    </row>
    <row r="405" spans="1:6" ht="16" thickTop="1" x14ac:dyDescent="0.35">
      <c r="B405" s="96">
        <f ca="1">[1]!onepair_A($C$404)</f>
        <v>2.81645869731762</v>
      </c>
      <c r="C405" s="187">
        <f ca="1">[1]!onepair_A2($C$404)</f>
        <v>2.5143201242800002</v>
      </c>
      <c r="D405" s="77"/>
    </row>
    <row r="406" spans="1:6" x14ac:dyDescent="0.35">
      <c r="B406" s="96">
        <f ca="1">[1]!onepair_B($C$404)</f>
        <v>2.4490945194066298</v>
      </c>
      <c r="C406" s="187">
        <f ca="1">[1]!onepair_B2($C$404)</f>
        <v>2.5143201242800002</v>
      </c>
      <c r="D406" s="77"/>
    </row>
    <row r="407" spans="1:6" x14ac:dyDescent="0.35">
      <c r="B407" s="96">
        <f ca="1">[1]!onepair_C($C$404)</f>
        <v>2.4490945194066298</v>
      </c>
      <c r="C407" s="187">
        <f ca="1">[1]!onepair_C2($C$404)</f>
        <v>2.8914681429220002</v>
      </c>
      <c r="D407" s="77"/>
    </row>
    <row r="408" spans="1:6" x14ac:dyDescent="0.35">
      <c r="B408" s="96">
        <f ca="1">[1]!onepair_D($C$404)</f>
        <v>2.1296474081796801</v>
      </c>
      <c r="C408" s="187">
        <f ca="1">[1]!onepair_D2($C$404)</f>
        <v>2.5143201242800002</v>
      </c>
      <c r="D408" s="77"/>
    </row>
    <row r="409" spans="1:6" ht="16" thickBot="1" x14ac:dyDescent="0.4">
      <c r="B409" s="97">
        <f ca="1">[1]!onepair_E($C$404)</f>
        <v>2.81645869731762</v>
      </c>
      <c r="C409" s="334">
        <f ca="1">[1]!onepair_E2($C$404)</f>
        <v>2.8914681429220002</v>
      </c>
      <c r="D409" s="78"/>
    </row>
    <row r="410" spans="1:6" ht="16" thickTop="1" x14ac:dyDescent="0.35"/>
    <row r="412" spans="1:6" x14ac:dyDescent="0.35">
      <c r="A412" s="88" t="s">
        <v>1975</v>
      </c>
    </row>
    <row r="413" spans="1:6" x14ac:dyDescent="0.35">
      <c r="A413" s="2">
        <f ca="1">RANDBETWEEN(8,14)</f>
        <v>13</v>
      </c>
      <c r="B413" s="2" t="s">
        <v>2471</v>
      </c>
      <c r="E413" s="14">
        <f ca="1">(A415/(A414/100))^(1/A413)-1</f>
        <v>0.11581561717578803</v>
      </c>
      <c r="F413" s="2" t="s">
        <v>2469</v>
      </c>
    </row>
    <row r="414" spans="1:6" x14ac:dyDescent="0.35">
      <c r="A414" s="2">
        <f ca="1">RANDBETWEEN(8,16)*4</f>
        <v>32</v>
      </c>
      <c r="B414" s="2" t="s">
        <v>2270</v>
      </c>
    </row>
    <row r="415" spans="1:6" x14ac:dyDescent="0.35">
      <c r="A415" s="13">
        <f ca="1">ROUND(A414*4*(1+RANDBETWEEN(3,7)/100)^(IF(RANDBETWEEN(0,1)=0,1,-1)),0)/100</f>
        <v>1.33</v>
      </c>
      <c r="B415" s="2" t="s">
        <v>2818</v>
      </c>
    </row>
    <row r="416" spans="1:6" ht="16" thickBot="1" x14ac:dyDescent="0.4"/>
    <row r="417" spans="1:7" ht="16.5" thickTop="1" thickBot="1" x14ac:dyDescent="0.4">
      <c r="B417" s="76" t="str">
        <f ca="1">[1]!std_ans($C$417)</f>
        <v>C</v>
      </c>
      <c r="C417" s="79" t="str">
        <f ca="1" xml:space="preserve"> "/\" &amp;RANDBETWEEN( 1,120) &amp; "/\" &amp;RANDBETWEEN( 1,120) &amp; "/\" &amp;0.1 &amp; "/\" &amp; E413</f>
        <v>/\91/\63/\0.1/\0.115815617175788</v>
      </c>
      <c r="D417" s="80" t="s">
        <v>2271</v>
      </c>
    </row>
    <row r="418" spans="1:7" ht="16" thickTop="1" x14ac:dyDescent="0.35">
      <c r="B418" s="92">
        <f ca="1">[1]!stdnum_A($C$417)</f>
        <v>9.5715386095692551E-2</v>
      </c>
      <c r="C418" s="82"/>
      <c r="D418" s="77"/>
    </row>
    <row r="419" spans="1:7" x14ac:dyDescent="0.35">
      <c r="B419" s="92">
        <f ca="1">[1]!stdnum_B($C$417)</f>
        <v>0.1401368967827035</v>
      </c>
      <c r="C419" s="82"/>
      <c r="D419" s="77"/>
    </row>
    <row r="420" spans="1:7" x14ac:dyDescent="0.35">
      <c r="B420" s="92">
        <f ca="1">[1]!stdnum_C($C$417)</f>
        <v>0.115815617175788</v>
      </c>
      <c r="C420" s="82"/>
      <c r="D420" s="77"/>
    </row>
    <row r="421" spans="1:7" x14ac:dyDescent="0.35">
      <c r="B421" s="92">
        <f ca="1">[1]!stdnum_D($C$417)</f>
        <v>0.12739717889336682</v>
      </c>
      <c r="C421" s="82"/>
      <c r="D421" s="77"/>
    </row>
    <row r="422" spans="1:7" ht="16" thickBot="1" x14ac:dyDescent="0.4">
      <c r="B422" s="93">
        <f ca="1">[1]!stdnum_E($C$417)</f>
        <v>0.10528692470526183</v>
      </c>
      <c r="C422" s="84"/>
      <c r="D422" s="78"/>
    </row>
    <row r="423" spans="1:7" ht="16" thickTop="1" x14ac:dyDescent="0.35"/>
    <row r="425" spans="1:7" x14ac:dyDescent="0.35">
      <c r="A425" s="347" t="s">
        <v>3557</v>
      </c>
      <c r="B425" s="103"/>
      <c r="C425" s="103"/>
      <c r="D425" s="103"/>
      <c r="E425" s="103"/>
      <c r="F425" s="103"/>
      <c r="G425" s="103"/>
    </row>
    <row r="426" spans="1:7" x14ac:dyDescent="0.35">
      <c r="A426" s="103">
        <f ca="1">RANDBETWEEN(4,9)</f>
        <v>6</v>
      </c>
      <c r="B426" s="103" t="s">
        <v>2661</v>
      </c>
      <c r="C426" s="103"/>
      <c r="D426" s="103"/>
      <c r="E426" s="103"/>
      <c r="F426" s="13">
        <f ca="1">A427/A428</f>
        <v>42.857142857142854</v>
      </c>
      <c r="G426" s="103" t="s">
        <v>2663</v>
      </c>
    </row>
    <row r="427" spans="1:7" x14ac:dyDescent="0.35">
      <c r="A427" s="13">
        <f ca="1">RANDBETWEEN(8,24)*4/10</f>
        <v>4.8</v>
      </c>
      <c r="B427" s="103" t="s">
        <v>2662</v>
      </c>
      <c r="C427" s="103"/>
      <c r="D427" s="103"/>
      <c r="E427" s="103"/>
      <c r="F427" s="13">
        <f ca="1">F426/(1+A428)^(A426-1)</f>
        <v>25.205729920256786</v>
      </c>
      <c r="G427" s="103" t="s">
        <v>2664</v>
      </c>
    </row>
    <row r="428" spans="1:7" x14ac:dyDescent="0.35">
      <c r="A428" s="324">
        <f ca="1">RANDBETWEEN(85,175)/1000</f>
        <v>0.112</v>
      </c>
      <c r="B428" s="2" t="s">
        <v>3244</v>
      </c>
      <c r="C428" s="103"/>
      <c r="D428" s="103"/>
      <c r="E428" s="103"/>
      <c r="F428" s="103"/>
      <c r="G428" s="103"/>
    </row>
    <row r="429" spans="1:7" ht="16" thickBot="1" x14ac:dyDescent="0.4">
      <c r="A429" s="103"/>
      <c r="B429" s="103"/>
      <c r="C429" s="103"/>
      <c r="D429" s="103"/>
      <c r="E429" s="103"/>
      <c r="F429" s="103"/>
      <c r="G429" s="103"/>
    </row>
    <row r="430" spans="1:7" ht="16.5" thickTop="1" thickBot="1" x14ac:dyDescent="0.4">
      <c r="B430" s="76" t="str">
        <f ca="1">[1]!std_ans($C$430)</f>
        <v>B</v>
      </c>
      <c r="C430" s="79" t="str">
        <f ca="1" xml:space="preserve"> "/\" &amp;RANDBETWEEN( 1,120) &amp; "/\" &amp;RANDBETWEEN( 1,120) &amp; "/\" &amp;0.1 &amp; "/\" &amp; F427</f>
        <v>/\99/\71/\0.1/\25.2057299202568</v>
      </c>
      <c r="D430" s="80" t="s">
        <v>3558</v>
      </c>
    </row>
    <row r="431" spans="1:7" ht="16" thickTop="1" x14ac:dyDescent="0.35">
      <c r="B431" s="96">
        <f ca="1">[1]!stdnum_A($C$430)</f>
        <v>22.914299927506182</v>
      </c>
      <c r="C431" s="82"/>
      <c r="D431" s="77"/>
    </row>
    <row r="432" spans="1:7" x14ac:dyDescent="0.35">
      <c r="B432" s="96">
        <f ca="1">[1]!stdnum_B($C$430)</f>
        <v>25.2057299202568</v>
      </c>
      <c r="C432" s="82"/>
      <c r="D432" s="77"/>
    </row>
    <row r="433" spans="1:7" x14ac:dyDescent="0.35">
      <c r="B433" s="96">
        <f ca="1">[1]!stdnum_C($C$430)</f>
        <v>27.726302912282481</v>
      </c>
      <c r="C433" s="82"/>
      <c r="D433" s="77"/>
    </row>
    <row r="434" spans="1:7" x14ac:dyDescent="0.35">
      <c r="B434" s="96">
        <f ca="1">[1]!stdnum_D($C$430)</f>
        <v>30.498933203510735</v>
      </c>
      <c r="C434" s="82"/>
      <c r="D434" s="77"/>
    </row>
    <row r="435" spans="1:7" ht="16" thickBot="1" x14ac:dyDescent="0.4">
      <c r="B435" s="97">
        <f ca="1">[1]!stdnum_E($C$430)</f>
        <v>20.831181752278344</v>
      </c>
      <c r="C435" s="84"/>
      <c r="D435" s="78"/>
    </row>
    <row r="436" spans="1:7" ht="16" thickTop="1" x14ac:dyDescent="0.35"/>
    <row r="438" spans="1:7" x14ac:dyDescent="0.35">
      <c r="A438" s="347" t="s">
        <v>936</v>
      </c>
      <c r="B438" s="103"/>
    </row>
    <row r="439" spans="1:7" x14ac:dyDescent="0.35">
      <c r="A439" s="103">
        <f ca="1">RANDBETWEEN(4,9)</f>
        <v>9</v>
      </c>
      <c r="B439" s="103" t="s">
        <v>2661</v>
      </c>
      <c r="F439" s="14">
        <f ca="1">RANDBETWEEN(85,175)/1000</f>
        <v>0.14699999999999999</v>
      </c>
      <c r="G439" s="2" t="s">
        <v>870</v>
      </c>
    </row>
    <row r="440" spans="1:7" x14ac:dyDescent="0.35">
      <c r="A440" s="13">
        <f ca="1">RANDBETWEEN(8,24)*4/10</f>
        <v>6.4</v>
      </c>
      <c r="B440" s="103" t="s">
        <v>2662</v>
      </c>
    </row>
    <row r="441" spans="1:7" x14ac:dyDescent="0.35">
      <c r="A441" s="286">
        <f ca="1">(A440/F439)*(1+F439)^(-A439+1)</f>
        <v>14.53300075204098</v>
      </c>
      <c r="B441" s="2" t="s">
        <v>2468</v>
      </c>
    </row>
    <row r="442" spans="1:7" ht="16" thickBot="1" x14ac:dyDescent="0.4"/>
    <row r="443" spans="1:7" ht="16.5" thickTop="1" thickBot="1" x14ac:dyDescent="0.4">
      <c r="B443" s="76" t="str">
        <f ca="1">[1]!std_ans($C$443)</f>
        <v>B</v>
      </c>
      <c r="C443" s="79" t="str">
        <f ca="1" xml:space="preserve"> "/\" &amp;RANDBETWEEN( 1,120) &amp; "/\" &amp;RANDBETWEEN( 1,120) &amp; "/\" &amp;0.1 &amp; "/\" &amp; F439</f>
        <v>/\27/\69/\0.1/\0.147</v>
      </c>
      <c r="D443" s="80" t="s">
        <v>937</v>
      </c>
    </row>
    <row r="444" spans="1:7" ht="16" thickTop="1" x14ac:dyDescent="0.35">
      <c r="B444" s="92">
        <f ca="1">[1]!stdnum_A($C$443)</f>
        <v>0.17787000000000003</v>
      </c>
      <c r="C444" s="82"/>
      <c r="D444" s="77"/>
    </row>
    <row r="445" spans="1:7" x14ac:dyDescent="0.35">
      <c r="B445" s="92">
        <f ca="1">[1]!stdnum_B($C$443)</f>
        <v>0.14699999999999999</v>
      </c>
      <c r="C445" s="82"/>
      <c r="D445" s="77"/>
    </row>
    <row r="446" spans="1:7" x14ac:dyDescent="0.35">
      <c r="B446" s="92">
        <f ca="1">[1]!stdnum_C($C$443)</f>
        <v>0.12148760330578511</v>
      </c>
      <c r="C446" s="82"/>
      <c r="D446" s="77"/>
    </row>
    <row r="447" spans="1:7" x14ac:dyDescent="0.35">
      <c r="B447" s="92">
        <f ca="1">[1]!stdnum_D($C$443)</f>
        <v>0.13363636363636364</v>
      </c>
      <c r="C447" s="82"/>
      <c r="D447" s="77"/>
    </row>
    <row r="448" spans="1:7" ht="16" thickBot="1" x14ac:dyDescent="0.4">
      <c r="B448" s="93">
        <f ca="1">[1]!stdnum_E($C$443)</f>
        <v>0.16170000000000001</v>
      </c>
      <c r="C448" s="84"/>
      <c r="D448" s="78"/>
    </row>
    <row r="449" spans="1:7" ht="16" thickTop="1" x14ac:dyDescent="0.35"/>
    <row r="451" spans="1:7" x14ac:dyDescent="0.35">
      <c r="A451" s="347" t="s">
        <v>2089</v>
      </c>
      <c r="B451" s="103"/>
    </row>
    <row r="452" spans="1:7" x14ac:dyDescent="0.35">
      <c r="A452" s="103">
        <f ca="1">RANDBETWEEN(4,14)*25</f>
        <v>225</v>
      </c>
      <c r="B452" s="2" t="s">
        <v>2476</v>
      </c>
      <c r="F452" s="286">
        <f ca="1">A453/F453</f>
        <v>111.30434782608695</v>
      </c>
      <c r="G452" s="2" t="s">
        <v>2468</v>
      </c>
    </row>
    <row r="453" spans="1:7" x14ac:dyDescent="0.35">
      <c r="A453" s="13">
        <f ca="1">RANDBETWEEN(8,24)*4/10</f>
        <v>6.4</v>
      </c>
      <c r="B453" s="103" t="s">
        <v>2662</v>
      </c>
      <c r="F453" s="9">
        <f ca="1">A454+A452/10000</f>
        <v>5.7500000000000002E-2</v>
      </c>
      <c r="G453" s="2" t="s">
        <v>1856</v>
      </c>
    </row>
    <row r="454" spans="1:7" x14ac:dyDescent="0.35">
      <c r="A454" s="324">
        <f ca="1">RANDBETWEEN(35,55)/1000</f>
        <v>3.5000000000000003E-2</v>
      </c>
      <c r="B454" s="2" t="s">
        <v>2090</v>
      </c>
    </row>
    <row r="455" spans="1:7" ht="16" thickBot="1" x14ac:dyDescent="0.4"/>
    <row r="456" spans="1:7" ht="16.5" thickTop="1" thickBot="1" x14ac:dyDescent="0.4">
      <c r="A456" s="324"/>
      <c r="B456" s="76" t="str">
        <f ca="1">[1]!std_ans($C$456)</f>
        <v>D</v>
      </c>
      <c r="C456" s="79" t="str">
        <f ca="1" xml:space="preserve"> "/\" &amp;RANDBETWEEN( 1,120) &amp; "/\" &amp;RANDBETWEEN( 1,120) &amp; "/\" &amp;0.1 &amp; "/\" &amp; F452</f>
        <v>/\93/\81/\0.1/\111.304347826087</v>
      </c>
      <c r="D456" s="80" t="s">
        <v>3340</v>
      </c>
    </row>
    <row r="457" spans="1:7" ht="16" thickTop="1" x14ac:dyDescent="0.35">
      <c r="B457" s="96">
        <f ca="1">[1]!stdnum_A($C$456)</f>
        <v>83.624603926436492</v>
      </c>
      <c r="C457" s="82"/>
      <c r="D457" s="77"/>
    </row>
    <row r="458" spans="1:7" x14ac:dyDescent="0.35">
      <c r="B458" s="96">
        <f ca="1">[1]!stdnum_B($C$456)</f>
        <v>122.4347826086957</v>
      </c>
      <c r="C458" s="82"/>
      <c r="D458" s="77"/>
    </row>
    <row r="459" spans="1:7" x14ac:dyDescent="0.35">
      <c r="B459" s="96">
        <f ca="1">[1]!stdnum_C($C$456)</f>
        <v>91.987064319080147</v>
      </c>
      <c r="C459" s="82"/>
      <c r="D459" s="77"/>
    </row>
    <row r="460" spans="1:7" x14ac:dyDescent="0.35">
      <c r="B460" s="96">
        <f ca="1">[1]!stdnum_D($C$456)</f>
        <v>111.304347826087</v>
      </c>
      <c r="C460" s="82"/>
      <c r="D460" s="77"/>
    </row>
    <row r="461" spans="1:7" ht="16" thickBot="1" x14ac:dyDescent="0.4">
      <c r="B461" s="97">
        <f ca="1">[1]!stdnum_E($C$456)</f>
        <v>101.18577075098817</v>
      </c>
      <c r="C461" s="84"/>
      <c r="D461" s="78"/>
    </row>
    <row r="462" spans="1:7" ht="16" thickTop="1" x14ac:dyDescent="0.35"/>
    <row r="464" spans="1:7" x14ac:dyDescent="0.35">
      <c r="A464" s="347" t="s">
        <v>3341</v>
      </c>
      <c r="B464" s="103"/>
    </row>
    <row r="465" spans="1:7" x14ac:dyDescent="0.35">
      <c r="A465" s="13">
        <f ca="1">RANDBETWEEN(8,24)*4/10</f>
        <v>6</v>
      </c>
      <c r="B465" s="103" t="s">
        <v>2662</v>
      </c>
      <c r="F465" s="324">
        <f ca="1">A465/A466</f>
        <v>6.8181818181818177E-2</v>
      </c>
      <c r="G465" s="2" t="s">
        <v>1111</v>
      </c>
    </row>
    <row r="466" spans="1:7" x14ac:dyDescent="0.35">
      <c r="A466" s="379">
        <f ca="1">RANDBETWEEN(55,95)</f>
        <v>88</v>
      </c>
      <c r="B466" s="2" t="s">
        <v>2468</v>
      </c>
    </row>
    <row r="467" spans="1:7" ht="16" thickBot="1" x14ac:dyDescent="0.4"/>
    <row r="468" spans="1:7" ht="16.5" thickTop="1" thickBot="1" x14ac:dyDescent="0.4">
      <c r="B468" s="76" t="str">
        <f ca="1">[1]!std_ans($C$468)</f>
        <v>E</v>
      </c>
      <c r="C468" s="79" t="str">
        <f ca="1" xml:space="preserve"> "/\" &amp;RANDBETWEEN( 1,120) &amp; "/\" &amp;RANDBETWEEN( 1,120) &amp; "/\" &amp;0.1 &amp; "/\" &amp; F465</f>
        <v>/\60/\86/\0.1/\0.0681818181818182</v>
      </c>
      <c r="D468" s="80" t="s">
        <v>3342</v>
      </c>
    </row>
    <row r="469" spans="1:7" ht="16" thickTop="1" x14ac:dyDescent="0.35">
      <c r="B469" s="92">
        <f ca="1">[1]!stdnum_A($C$468)</f>
        <v>5.1226009152380306E-2</v>
      </c>
      <c r="C469" s="82"/>
      <c r="D469" s="77"/>
    </row>
    <row r="470" spans="1:7" x14ac:dyDescent="0.35">
      <c r="B470" s="92">
        <f ca="1">[1]!stdnum_B($C$468)</f>
        <v>6.1983471074380181E-2</v>
      </c>
      <c r="C470" s="82"/>
      <c r="D470" s="77"/>
    </row>
    <row r="471" spans="1:7" x14ac:dyDescent="0.35">
      <c r="B471" s="92">
        <f ca="1">[1]!stdnum_C($C$468)</f>
        <v>5.6348610067618342E-2</v>
      </c>
      <c r="C471" s="82"/>
      <c r="D471" s="77"/>
    </row>
    <row r="472" spans="1:7" x14ac:dyDescent="0.35">
      <c r="B472" s="92">
        <f ca="1">[1]!stdnum_D($C$468)</f>
        <v>7.5000000000000025E-2</v>
      </c>
      <c r="C472" s="82"/>
      <c r="D472" s="77"/>
    </row>
    <row r="473" spans="1:7" ht="16" thickBot="1" x14ac:dyDescent="0.4">
      <c r="B473" s="93">
        <f ca="1">[1]!stdnum_E($C$468)</f>
        <v>6.8181818181818205E-2</v>
      </c>
      <c r="C473" s="84"/>
      <c r="D473" s="78"/>
    </row>
    <row r="474" spans="1:7" ht="16" thickTop="1" x14ac:dyDescent="0.35"/>
    <row r="476" spans="1:7" x14ac:dyDescent="0.35">
      <c r="A476" s="347" t="s">
        <v>301</v>
      </c>
      <c r="B476" s="103"/>
    </row>
    <row r="477" spans="1:7" x14ac:dyDescent="0.35">
      <c r="A477" s="103">
        <f ca="1">RANDBETWEEN(4,14)*25</f>
        <v>100</v>
      </c>
      <c r="B477" s="2" t="s">
        <v>2476</v>
      </c>
      <c r="F477" s="286">
        <f ca="1">A478/F478</f>
        <v>156.8627450980392</v>
      </c>
      <c r="G477" s="2" t="s">
        <v>2823</v>
      </c>
    </row>
    <row r="478" spans="1:7" x14ac:dyDescent="0.35">
      <c r="A478" s="13">
        <f ca="1">RANDBETWEEN(8,24)*4/10</f>
        <v>8</v>
      </c>
      <c r="B478" s="103" t="s">
        <v>2662</v>
      </c>
      <c r="F478" s="9">
        <f ca="1">A479+A477/10000</f>
        <v>5.1000000000000004E-2</v>
      </c>
      <c r="G478" s="2" t="s">
        <v>302</v>
      </c>
    </row>
    <row r="479" spans="1:7" x14ac:dyDescent="0.35">
      <c r="A479" s="324">
        <f ca="1">RANDBETWEEN(35,55)/1000</f>
        <v>4.1000000000000002E-2</v>
      </c>
      <c r="B479" s="2" t="s">
        <v>2090</v>
      </c>
      <c r="F479" s="29">
        <f ca="1">A478/A480</f>
        <v>5.7102069950035694E-2</v>
      </c>
      <c r="G479" s="2" t="s">
        <v>304</v>
      </c>
    </row>
    <row r="480" spans="1:7" x14ac:dyDescent="0.35">
      <c r="A480" s="286">
        <f ca="1">ROUND((1+RANDBETWEEN(8,13)/100)^(IF(RANDBETWEEN(0,1)=0,1,-1))*F477,1)</f>
        <v>140.1</v>
      </c>
      <c r="B480" s="2" t="s">
        <v>2468</v>
      </c>
      <c r="F480" s="380">
        <f ca="1">(A478/A480-A479)*10000</f>
        <v>161.02069950035693</v>
      </c>
      <c r="G480" s="2" t="s">
        <v>303</v>
      </c>
    </row>
    <row r="481" spans="1:7" x14ac:dyDescent="0.35">
      <c r="F481" s="2" t="str">
        <f ca="1">IF(F477&gt;A480,"buy","sell")</f>
        <v>buy</v>
      </c>
      <c r="G481" s="2" t="str">
        <f ca="1">IF(F477&lt;A480,"buy","sell")</f>
        <v>sell</v>
      </c>
    </row>
    <row r="482" spans="1:7" ht="16" thickBot="1" x14ac:dyDescent="0.4"/>
    <row r="483" spans="1:7" ht="16.5" thickTop="1" thickBot="1" x14ac:dyDescent="0.4">
      <c r="B483" s="76" t="str">
        <f ca="1">[1]!alpha_ans($C$483)</f>
        <v>E</v>
      </c>
      <c r="C483" s="79" t="str">
        <f ca="1" xml:space="preserve"> "/\" &amp;RANDBETWEEN( 1,5) &amp; "/\" &amp;RANDBETWEEN( 1,120) &amp; "/\" &amp;RANDBETWEEN( 1,6) &amp; "/\" &amp;RANDBETWEEN( 1,2) &amp; "/\" &amp; F480 &amp; "/\" &amp; "Mask" &amp; "/\" &amp; "Mask" &amp; "/\" &amp; F481 &amp; "/\" &amp; G481</f>
        <v>/\5/\55/\2/\1/\161.020699500357/\Mask/\Mask/\buy/\sell</v>
      </c>
      <c r="D483" s="80" t="s">
        <v>305</v>
      </c>
    </row>
    <row r="484" spans="1:7" ht="16" thickTop="1" x14ac:dyDescent="0.35">
      <c r="B484" s="74">
        <f ca="1">[1]!onepair_A($C$483)</f>
        <v>212.94987508922199</v>
      </c>
      <c r="C484" s="317" t="str">
        <f ca="1">[1]!onepair_A2($C$483)</f>
        <v>sell</v>
      </c>
      <c r="D484" s="77"/>
    </row>
    <row r="485" spans="1:7" x14ac:dyDescent="0.35">
      <c r="B485" s="74">
        <f ca="1">[1]!onepair_B($C$483)</f>
        <v>212.94987508922199</v>
      </c>
      <c r="C485" s="317" t="str">
        <f ca="1">[1]!onepair_B2($C$483)</f>
        <v>buy</v>
      </c>
      <c r="D485" s="77"/>
    </row>
    <row r="486" spans="1:7" x14ac:dyDescent="0.35">
      <c r="B486" s="74">
        <f ca="1">[1]!onepair_C($C$483)</f>
        <v>161.02069950035701</v>
      </c>
      <c r="C486" s="317" t="str">
        <f ca="1">[1]!onepair_C2($C$483)</f>
        <v>sell</v>
      </c>
      <c r="D486" s="77"/>
    </row>
    <row r="487" spans="1:7" x14ac:dyDescent="0.35">
      <c r="B487" s="74">
        <f ca="1">[1]!onepair_D($C$483)</f>
        <v>185.17380442541099</v>
      </c>
      <c r="C487" s="317" t="str">
        <f ca="1">[1]!onepair_D2($C$483)</f>
        <v>buy</v>
      </c>
      <c r="D487" s="77"/>
    </row>
    <row r="488" spans="1:7" ht="16" thickBot="1" x14ac:dyDescent="0.4">
      <c r="B488" s="75">
        <f ca="1">[1]!onepair_E($C$483)</f>
        <v>161.02069950035701</v>
      </c>
      <c r="C488" s="318" t="str">
        <f ca="1">[1]!onepair_E2($C$483)</f>
        <v>buy</v>
      </c>
      <c r="D488" s="78"/>
    </row>
    <row r="489" spans="1:7" ht="16" thickTop="1" x14ac:dyDescent="0.35"/>
    <row r="491" spans="1:7" x14ac:dyDescent="0.35">
      <c r="A491" s="88" t="s">
        <v>3677</v>
      </c>
    </row>
    <row r="492" spans="1:7" x14ac:dyDescent="0.35">
      <c r="A492" s="26">
        <f ca="1">25*RANDBETWEEN(8,20)/100</f>
        <v>3.5</v>
      </c>
      <c r="B492" s="2" t="s">
        <v>2838</v>
      </c>
      <c r="F492" s="14">
        <f ca="1">RANDBETWEEN(70,110)/1000</f>
        <v>7.8E-2</v>
      </c>
      <c r="G492" s="2" t="s">
        <v>2840</v>
      </c>
    </row>
    <row r="493" spans="1:7" x14ac:dyDescent="0.35">
      <c r="A493" s="26">
        <f ca="1">ROUND(A492/F492,1)</f>
        <v>44.9</v>
      </c>
      <c r="B493" s="2" t="s">
        <v>2839</v>
      </c>
      <c r="F493" s="9">
        <f ca="1">RANDBETWEEN(25,50)/1000+A494/10000</f>
        <v>6.2E-2</v>
      </c>
      <c r="G493" s="2" t="s">
        <v>1559</v>
      </c>
    </row>
    <row r="494" spans="1:7" x14ac:dyDescent="0.35">
      <c r="A494" s="4">
        <f ca="1">ROUND((F492-RANDBETWEEN(25,50)/1000)/2,3)*10000</f>
        <v>230</v>
      </c>
      <c r="B494" s="2" t="s">
        <v>1558</v>
      </c>
      <c r="F494" s="27">
        <f ca="1">A492/F493</f>
        <v>56.451612903225808</v>
      </c>
      <c r="G494" s="2" t="s">
        <v>1560</v>
      </c>
    </row>
    <row r="495" spans="1:7" x14ac:dyDescent="0.35">
      <c r="A495" s="4">
        <f ca="1">RANDBETWEEN(3,6)</f>
        <v>6</v>
      </c>
      <c r="B495" s="2" t="s">
        <v>3714</v>
      </c>
      <c r="F495" s="15">
        <f ca="1">RATE(A495,A492,-A493,F494)</f>
        <v>0.11042922156944079</v>
      </c>
      <c r="G495" s="2" t="s">
        <v>1561</v>
      </c>
    </row>
    <row r="496" spans="1:7" ht="16" thickBot="1" x14ac:dyDescent="0.4"/>
    <row r="497" spans="1:7" ht="16.5" thickTop="1" thickBot="1" x14ac:dyDescent="0.4">
      <c r="B497" s="76" t="str">
        <f ca="1">[1]!std_ans($C$497)</f>
        <v>E</v>
      </c>
      <c r="C497" s="79" t="str">
        <f ca="1" xml:space="preserve"> "/\" &amp;RANDBETWEEN( 1,120) &amp; "/\" &amp;RANDBETWEEN( 1,120) &amp; "/\" &amp;0.1 &amp; "/\" &amp; F495</f>
        <v>/\96/\108/\0.1/\0.110429221569441</v>
      </c>
      <c r="D497" s="80" t="s">
        <v>3678</v>
      </c>
    </row>
    <row r="498" spans="1:7" ht="16" thickTop="1" x14ac:dyDescent="0.35">
      <c r="B498" s="92">
        <f ca="1">[1]!stdnum_A($C$497)</f>
        <v>9.1263819478876851E-2</v>
      </c>
      <c r="C498" s="82"/>
      <c r="D498" s="77"/>
    </row>
    <row r="499" spans="1:7" x14ac:dyDescent="0.35">
      <c r="B499" s="92">
        <f ca="1">[1]!stdnum_B($C$497)</f>
        <v>7.5424644197418872E-2</v>
      </c>
      <c r="C499" s="82"/>
      <c r="D499" s="77"/>
    </row>
    <row r="500" spans="1:7" x14ac:dyDescent="0.35">
      <c r="B500" s="92">
        <f ca="1">[1]!stdnum_C($C$497)</f>
        <v>0.10039020142676454</v>
      </c>
      <c r="C500" s="82"/>
      <c r="D500" s="77"/>
    </row>
    <row r="501" spans="1:7" x14ac:dyDescent="0.35">
      <c r="B501" s="92">
        <f ca="1">[1]!stdnum_D($C$497)</f>
        <v>8.2967108617160765E-2</v>
      </c>
      <c r="C501" s="82"/>
      <c r="D501" s="77"/>
    </row>
    <row r="502" spans="1:7" ht="16" thickBot="1" x14ac:dyDescent="0.4">
      <c r="B502" s="93">
        <f ca="1">[1]!stdnum_E($C$497)</f>
        <v>0.110429221569441</v>
      </c>
      <c r="C502" s="84"/>
      <c r="D502" s="78"/>
    </row>
    <row r="503" spans="1:7" ht="16" thickTop="1" x14ac:dyDescent="0.35"/>
    <row r="505" spans="1:7" x14ac:dyDescent="0.35">
      <c r="A505" s="88" t="s">
        <v>342</v>
      </c>
    </row>
    <row r="506" spans="1:7" x14ac:dyDescent="0.35">
      <c r="A506" s="26">
        <f ca="1">25*RANDBETWEEN(8,20)/100</f>
        <v>3.5</v>
      </c>
      <c r="B506" s="2" t="s">
        <v>2838</v>
      </c>
      <c r="F506" s="13">
        <f ca="1">A506/(A508-A507)</f>
        <v>57.377049180327873</v>
      </c>
      <c r="G506" s="2" t="s">
        <v>1310</v>
      </c>
    </row>
    <row r="507" spans="1:7" x14ac:dyDescent="0.35">
      <c r="A507" s="324">
        <f ca="1">ROUND(A508-RANDBETWEEN(25,70)/1000,2)</f>
        <v>0.09</v>
      </c>
      <c r="B507" s="2" t="s">
        <v>2469</v>
      </c>
    </row>
    <row r="508" spans="1:7" x14ac:dyDescent="0.35">
      <c r="A508" s="324">
        <f ca="1">RANDBETWEEN(85,175)/1000</f>
        <v>0.151</v>
      </c>
      <c r="B508" s="2" t="s">
        <v>3244</v>
      </c>
    </row>
    <row r="509" spans="1:7" ht="16" thickBot="1" x14ac:dyDescent="0.4"/>
    <row r="510" spans="1:7" ht="16.5" thickTop="1" thickBot="1" x14ac:dyDescent="0.4">
      <c r="B510" s="76" t="str">
        <f ca="1">[1]!std_ans($C$510)</f>
        <v>B</v>
      </c>
      <c r="C510" s="79" t="str">
        <f ca="1" xml:space="preserve"> "/\" &amp;RANDBETWEEN( 1,120) &amp; "/\" &amp;RANDBETWEEN( 1,120) &amp; "/\" &amp;0.1 &amp; "/\" &amp; F506</f>
        <v>/\50/\50/\0.1/\57.3770491803279</v>
      </c>
      <c r="D510" s="80" t="s">
        <v>341</v>
      </c>
    </row>
    <row r="511" spans="1:7" ht="16" thickTop="1" x14ac:dyDescent="0.35">
      <c r="B511" s="96">
        <f ca="1">[1]!stdnum_A($C$510)</f>
        <v>52.160953800298088</v>
      </c>
      <c r="C511" s="82"/>
      <c r="D511" s="77"/>
    </row>
    <row r="512" spans="1:7" x14ac:dyDescent="0.35">
      <c r="B512" s="96">
        <f ca="1">[1]!stdnum_B($C$510)</f>
        <v>57.377049180327901</v>
      </c>
      <c r="C512" s="82"/>
      <c r="D512" s="77"/>
    </row>
    <row r="513" spans="1:8" x14ac:dyDescent="0.35">
      <c r="B513" s="96">
        <f ca="1">[1]!stdnum_C($C$510)</f>
        <v>47.419048909361898</v>
      </c>
      <c r="C513" s="82"/>
      <c r="D513" s="77"/>
    </row>
    <row r="514" spans="1:8" x14ac:dyDescent="0.35">
      <c r="B514" s="96">
        <f ca="1">[1]!stdnum_D($C$510)</f>
        <v>63.114754098360699</v>
      </c>
      <c r="C514" s="82"/>
      <c r="D514" s="77"/>
    </row>
    <row r="515" spans="1:8" ht="16" thickBot="1" x14ac:dyDescent="0.4">
      <c r="B515" s="97">
        <f ca="1">[1]!stdnum_E($C$510)</f>
        <v>69.426229508196769</v>
      </c>
      <c r="C515" s="84"/>
      <c r="D515" s="78"/>
    </row>
    <row r="516" spans="1:8" ht="16" thickTop="1" x14ac:dyDescent="0.35"/>
    <row r="518" spans="1:8" x14ac:dyDescent="0.35">
      <c r="A518" s="88" t="s">
        <v>3603</v>
      </c>
    </row>
    <row r="519" spans="1:8" x14ac:dyDescent="0.35">
      <c r="A519" s="26">
        <f ca="1">RANDBETWEEN(20,40)+RANDBETWEEN(1,4)*25/100</f>
        <v>33.75</v>
      </c>
      <c r="B519" s="2" t="s">
        <v>2554</v>
      </c>
      <c r="E519" s="26">
        <f ca="1">(A521*A519-A520)/(A521-1)</f>
        <v>33.911764705882355</v>
      </c>
      <c r="F519" s="2" t="s">
        <v>2553</v>
      </c>
    </row>
    <row r="520" spans="1:8" x14ac:dyDescent="0.35">
      <c r="A520" s="26">
        <f ca="1">MROUND(A519*(1+RANDBETWEEN(16,25)/100)^(IF(RANDBETWEEN(0,1)=0,1,-1)),0.25)</f>
        <v>28.25</v>
      </c>
      <c r="B520" s="2" t="s">
        <v>1649</v>
      </c>
      <c r="E520" s="7">
        <f ca="1">E519/A522-1</f>
        <v>-0.20019422863485004</v>
      </c>
      <c r="F520" s="2" t="s">
        <v>3604</v>
      </c>
    </row>
    <row r="521" spans="1:8" x14ac:dyDescent="0.35">
      <c r="A521" s="4">
        <f ca="1">RANDBETWEEN(2,10)*5</f>
        <v>35</v>
      </c>
      <c r="B521" s="2" t="s">
        <v>2555</v>
      </c>
      <c r="E521" s="4" t="str">
        <f ca="1">IF(A522&gt;A519,"sell","buy")</f>
        <v>sell</v>
      </c>
      <c r="F521" s="2" t="s">
        <v>3605</v>
      </c>
    </row>
    <row r="522" spans="1:8" x14ac:dyDescent="0.35">
      <c r="A522" s="26">
        <f ca="1">ROUND((1+RANDBETWEEN(16,25)/100)^(IF(RANDBETWEEN(0,1)=0,1,-1))*E519,1)</f>
        <v>42.4</v>
      </c>
      <c r="B522" s="2" t="s">
        <v>3606</v>
      </c>
      <c r="E522" s="4" t="str">
        <f ca="1">IF(A522&lt;A519,"sell","buy")</f>
        <v>buy</v>
      </c>
      <c r="F522" s="2" t="s">
        <v>3607</v>
      </c>
    </row>
    <row r="524" spans="1:8" ht="16" thickBot="1" x14ac:dyDescent="0.4">
      <c r="B524" s="88" t="s">
        <v>3608</v>
      </c>
      <c r="F524" s="88" t="s">
        <v>3609</v>
      </c>
    </row>
    <row r="525" spans="1:8" ht="16.5" thickTop="1" thickBot="1" x14ac:dyDescent="0.4">
      <c r="B525" s="76" t="str">
        <f ca="1">[1]!std_ans($C$525)</f>
        <v>A</v>
      </c>
      <c r="C525" s="79" t="str">
        <f ca="1" xml:space="preserve"> "/\" &amp;RANDBETWEEN( 1,120) &amp; "/\" &amp;RANDBETWEEN( 1,120) &amp; "/\" &amp;0.1 &amp; "/\" &amp; E520</f>
        <v>/\16/\5/\0.1/\-0.20019422863485</v>
      </c>
      <c r="D525" s="80" t="s">
        <v>3610</v>
      </c>
      <c r="F525" s="76" t="str">
        <f ca="1">[1]!alpha_ans($G$525)</f>
        <v>B</v>
      </c>
      <c r="G525" s="79" t="str">
        <f ca="1" xml:space="preserve"> "/\" &amp;RANDBETWEEN( 1,5) &amp; "/\" &amp;RANDBETWEEN( 1,120) &amp; "/\" &amp;RANDBETWEEN( 1,6) &amp; "/\" &amp;RANDBETWEEN( 1,2) &amp; "/\" &amp; E520 &amp; "/\" &amp; "Mask" &amp; "/\" &amp; "Mask" &amp; "/\" &amp; E521 &amp; "/\" &amp; E522</f>
        <v>/\2/\102/\4/\1/\-0.20019422863485/\Mask/\Mask/\sell/\buy</v>
      </c>
      <c r="H525" s="80" t="s">
        <v>3611</v>
      </c>
    </row>
    <row r="526" spans="1:8" ht="16" thickTop="1" x14ac:dyDescent="0.35">
      <c r="B526" s="92">
        <f ca="1">[1]!stdnum_A($C$525)</f>
        <v>-0.20019422863485001</v>
      </c>
      <c r="C526" s="82"/>
      <c r="D526" s="77"/>
      <c r="F526" s="92">
        <f ca="1">[1]!onepair_A($G$525)</f>
        <v>-0.174081937943348</v>
      </c>
      <c r="G526" s="317" t="str">
        <f ca="1">[1]!onepair_A2($G$525)</f>
        <v>buy</v>
      </c>
      <c r="H526" s="77"/>
    </row>
    <row r="527" spans="1:8" x14ac:dyDescent="0.35">
      <c r="B527" s="92">
        <f ca="1">[1]!stdnum_B($C$525)</f>
        <v>-0.24223501664816854</v>
      </c>
      <c r="C527" s="82"/>
      <c r="D527" s="77"/>
      <c r="F527" s="92">
        <f ca="1">[1]!onepair_B($G$525)</f>
        <v>-0.20019422863485001</v>
      </c>
      <c r="G527" s="317" t="str">
        <f ca="1">[1]!onepair_B2($G$525)</f>
        <v>sell</v>
      </c>
      <c r="H527" s="77"/>
    </row>
    <row r="528" spans="1:8" x14ac:dyDescent="0.35">
      <c r="B528" s="92">
        <f ca="1">[1]!stdnum_C($C$525)</f>
        <v>-0.29310437014428398</v>
      </c>
      <c r="C528" s="82"/>
      <c r="D528" s="77"/>
      <c r="F528" s="92">
        <f ca="1">[1]!onepair_C($G$525)</f>
        <v>-0.174081937943348</v>
      </c>
      <c r="G528" s="317" t="str">
        <f ca="1">[1]!onepair_C2($G$525)</f>
        <v>sell</v>
      </c>
      <c r="H528" s="77"/>
    </row>
    <row r="529" spans="2:8" x14ac:dyDescent="0.35">
      <c r="B529" s="92">
        <f ca="1">[1]!stdnum_D($C$525)</f>
        <v>-0.26645851831298545</v>
      </c>
      <c r="C529" s="82"/>
      <c r="D529" s="77"/>
      <c r="F529" s="92">
        <f ca="1">[1]!onepair_D($G$525)</f>
        <v>-0.230223362930078</v>
      </c>
      <c r="G529" s="317" t="str">
        <f ca="1">[1]!onepair_D2($G$525)</f>
        <v>buy</v>
      </c>
      <c r="H529" s="77"/>
    </row>
    <row r="530" spans="2:8" ht="16" thickBot="1" x14ac:dyDescent="0.4">
      <c r="B530" s="93">
        <f ca="1">[1]!stdnum_E($C$525)</f>
        <v>-0.22021365149833502</v>
      </c>
      <c r="C530" s="84"/>
      <c r="D530" s="78"/>
      <c r="F530" s="93">
        <f ca="1">[1]!onepair_E($G$525)</f>
        <v>-0.230223362930078</v>
      </c>
      <c r="G530" s="318" t="str">
        <f ca="1">[1]!onepair_E2($G$525)</f>
        <v>sell</v>
      </c>
      <c r="H530" s="78"/>
    </row>
    <row r="531" spans="2:8" ht="16" thickTop="1" x14ac:dyDescent="0.35"/>
  </sheetData>
  <phoneticPr fontId="0" type="noConversion"/>
  <pageMargins left="0.75" right="0.75" top="1" bottom="1" header="0.5" footer="0.5"/>
  <pageSetup orientation="portrait" horizontalDpi="96" verticalDpi="96"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39</vt:i4>
      </vt:variant>
    </vt:vector>
  </HeadingPairs>
  <TitlesOfParts>
    <vt:vector size="51" baseType="lpstr">
      <vt:lpstr>Parameters</vt:lpstr>
      <vt:lpstr>TeacherQuestions</vt:lpstr>
      <vt:lpstr>Conceptual</vt:lpstr>
      <vt:lpstr>FA1</vt:lpstr>
      <vt:lpstr>LumpSum</vt:lpstr>
      <vt:lpstr>GeneralPV</vt:lpstr>
      <vt:lpstr>CapBud</vt:lpstr>
      <vt:lpstr>BondApps</vt:lpstr>
      <vt:lpstr>stocks</vt:lpstr>
      <vt:lpstr>PortTheory</vt:lpstr>
      <vt:lpstr>Options</vt:lpstr>
      <vt:lpstr>Intntl</vt:lpstr>
      <vt:lpstr>FivePairs</vt:lpstr>
      <vt:lpstr>flag1</vt:lpstr>
      <vt:lpstr>flag2</vt:lpstr>
      <vt:lpstr>flag3</vt:lpstr>
      <vt:lpstr>flag4</vt:lpstr>
      <vt:lpstr>flag5</vt:lpstr>
      <vt:lpstr>FourFromSix</vt:lpstr>
      <vt:lpstr>mask01</vt:lpstr>
      <vt:lpstr>mask03</vt:lpstr>
      <vt:lpstr>mask05</vt:lpstr>
      <vt:lpstr>mask10</vt:lpstr>
      <vt:lpstr>mask100</vt:lpstr>
      <vt:lpstr>mask20</vt:lpstr>
      <vt:lpstr>mask200</vt:lpstr>
      <vt:lpstr>mask25</vt:lpstr>
      <vt:lpstr>mask30</vt:lpstr>
      <vt:lpstr>mask40</vt:lpstr>
      <vt:lpstr>mask50</vt:lpstr>
      <vt:lpstr>mask60</vt:lpstr>
      <vt:lpstr>mask70</vt:lpstr>
      <vt:lpstr>mask80</vt:lpstr>
      <vt:lpstr>OneFromThree</vt:lpstr>
      <vt:lpstr>sign1</vt:lpstr>
      <vt:lpstr>sign2</vt:lpstr>
      <vt:lpstr>sign3</vt:lpstr>
      <vt:lpstr>sign4</vt:lpstr>
      <vt:lpstr>sign5</vt:lpstr>
      <vt:lpstr>SixPairs</vt:lpstr>
      <vt:lpstr>ThreeFromFive</vt:lpstr>
      <vt:lpstr>TwoFromFive</vt:lpstr>
      <vt:lpstr>TwoFromFour</vt:lpstr>
      <vt:lpstr>vMask02</vt:lpstr>
      <vt:lpstr>vMask05</vt:lpstr>
      <vt:lpstr>vMask10</vt:lpstr>
      <vt:lpstr>vMask15</vt:lpstr>
      <vt:lpstr>vMask20</vt:lpstr>
      <vt:lpstr>vMask30</vt:lpstr>
      <vt:lpstr>vMask40</vt:lpstr>
      <vt:lpstr>vMask50</vt:lpstr>
    </vt:vector>
  </TitlesOfParts>
  <Company>University of Alabama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Engine Spreadsheet for Recalculations</dc:title>
  <dc:creator>Thomas W. Downs</dc:creator>
  <cp:lastModifiedBy>td</cp:lastModifiedBy>
  <cp:lastPrinted>2008-11-19T20:07:06Z</cp:lastPrinted>
  <dcterms:created xsi:type="dcterms:W3CDTF">1999-04-22T15:55:30Z</dcterms:created>
  <dcterms:modified xsi:type="dcterms:W3CDTF">2021-04-15T19:23:30Z</dcterms:modified>
</cp:coreProperties>
</file>